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Дашборд" sheetId="1" r:id="rId1"/>
    <sheet name="Допущения" sheetId="2" r:id="rId2"/>
    <sheet name="Магазин-флагман" sheetId="3" r:id="rId3"/>
    <sheet name="Магазин-компакт" sheetId="4" r:id="rId4"/>
    <sheet name="Сеть 5 лет" sheetId="5" r:id="rId5"/>
    <sheet name="Use of funds" sheetId="6" r:id="rId6"/>
    <sheet name="Сценарии" sheetId="7" r:id="rId7"/>
  </sheets>
  <calcPr calcId="124519" fullCalcOnLoad="1"/>
</workbook>
</file>

<file path=xl/sharedStrings.xml><?xml version="1.0" encoding="utf-8"?>
<sst xmlns="http://schemas.openxmlformats.org/spreadsheetml/2006/main" count="362" uniqueCount="299">
  <si>
    <t>Чапан — финансовая модель v3.1</t>
  </si>
  <si>
    <t>Гибридный формат · обновление тарифов мая 2026 · 2026-05-10</t>
  </si>
  <si>
    <t>Все жёлтые ячейки — редактируемые. Зелёные — макро-фон 2026 (справочно). v3.1: добавлены НДС эквайринг 22%, убывающий HQ, индексация аренды 8%/год, депозиты+ОАТИ отдельно, stand-by кредит, Рамадан-сценарий.</t>
  </si>
  <si>
    <t>МАКРО-ФОН 2026 (справочно — для контекста допущений)</t>
  </si>
  <si>
    <t>Ставка ЦБ РФ (рабочая, май 2026)</t>
  </si>
  <si>
    <t>cbr.ru — рабочая 19-21%, использовали верх диапазона</t>
  </si>
  <si>
    <t>Кредитная ставка для greenfield retail (КС + 6 п.п.)</t>
  </si>
  <si>
    <t>D: 26-27%; топ-3 банков для нового FMCG-юрлица</t>
  </si>
  <si>
    <t>НДС на эквайринг (с 01.01.2026)</t>
  </si>
  <si>
    <t>СБП без НДС; carded 22% на комиссию эквайера</t>
  </si>
  <si>
    <t>Эквайринг (% выручки brutto до НДС)</t>
  </si>
  <si>
    <t>1,8-2,3% — реалистично для FMCG; берём 2,0%</t>
  </si>
  <si>
    <t>Эквайринг (% выручки с учётом НДС)</t>
  </si>
  <si>
    <t>формула: 2,0% × 1,22 = 2,44% выручки</t>
  </si>
  <si>
    <t>Индексация аренды 2027+</t>
  </si>
  <si>
    <t>CPI-link 7-9%; стандарт 8% в договорах FMCG</t>
  </si>
  <si>
    <t>Инфляция ФОТ (CPI)</t>
  </si>
  <si>
    <t>оценка ЦБ + Росстат 2026</t>
  </si>
  <si>
    <t>LFL рост зрелого магазина</t>
  </si>
  <si>
    <t>B: реалистично при инфляции 7-9%</t>
  </si>
  <si>
    <t>Доля онлайн-канала (Y2+)</t>
  </si>
  <si>
    <t>Yandex Eda Halal, Купер, Самокат-Халяль</t>
  </si>
  <si>
    <t>РЫНОК (бенчмарки 2026)</t>
  </si>
  <si>
    <t>Мусульман в РФ — этнических (млн)</t>
  </si>
  <si>
    <t>B: 18-22M; перепись 2021 + ИЭА РАН 2024</t>
  </si>
  <si>
    <t>Релевантных потребителей халяль (млн)</t>
  </si>
  <si>
    <t>практикующих + культурных, 7-9M+ ядро</t>
  </si>
  <si>
    <t>Объём халяль-FMCG в РФ (млрд ₽)</t>
  </si>
  <si>
    <t>ICCI Russia 2025, KazanSummit-2025 — ₽1 трлн+</t>
  </si>
  <si>
    <t>Годовой рост халяль-FMCG (%)</t>
  </si>
  <si>
    <t>9-11% общий, 20%+ готовая еда и онлайн</t>
  </si>
  <si>
    <t>Доля сетевой розницы в халяле (%)</t>
  </si>
  <si>
    <t>выросла с &lt;10% (2024) с экспансией Перекрёстка/ВкусВилла</t>
  </si>
  <si>
    <t>МАГАЗИН ФЛАГМАН (300 м², полный цикл)</t>
  </si>
  <si>
    <t>Площадь (м²)</t>
  </si>
  <si>
    <t>премиум-локация Текстильщики/Алтуфьево</t>
  </si>
  <si>
    <t>CapEx «под ключ» (включ. Россети ₽10M, оборотку ₽3M)</t>
  </si>
  <si>
    <t>A+C: ₽35M ремонт+оборудование + ₽10M Россети 80 кВт</t>
  </si>
  <si>
    <t>Команда (чел.)</t>
  </si>
  <si>
    <t>C: 26 чел. + подмена 1.4-1.5×</t>
  </si>
  <si>
    <t>Средний чек (₽)</t>
  </si>
  <si>
    <t>B: Бахетле Москва ₽2 100, премиум халяль ₽2 600-3 200</t>
  </si>
  <si>
    <t>Чеков в день на пике (24 мес)</t>
  </si>
  <si>
    <t>B: бенчмарк Бахетле для премиум-локации</t>
  </si>
  <si>
    <t>МАГАЗИН КОМПАКТНЫЙ (200 м², без своего производства)</t>
  </si>
  <si>
    <t>компактный формат у метро ЮВАО/СВАО</t>
  </si>
  <si>
    <t>CapEx «под ключ» (включ. Россети ₽6M, оборотку ₽2M)</t>
  </si>
  <si>
    <t>C: ремонт+оборудование без полного производства</t>
  </si>
  <si>
    <t>C: 14 чел. + подмена</t>
  </si>
  <si>
    <t>между Пятёрочкой и Бахетле, без премиум-локации</t>
  </si>
  <si>
    <t>компактный формат, плотный жилой массив</t>
  </si>
  <si>
    <t>Дней работы в месяц</t>
  </si>
  <si>
    <t>без выходных</t>
  </si>
  <si>
    <t>КРИВАЯ ВЫХОДА НА ПИК (общая для обоих форматов)</t>
  </si>
  <si>
    <t>Доля выручки 1-3 мес. от пика</t>
  </si>
  <si>
    <t>C: новый бренд без узнаваемости</t>
  </si>
  <si>
    <t>Доля выручки 4-6 мес.</t>
  </si>
  <si>
    <t>Доля выручки 7-12 мес.</t>
  </si>
  <si>
    <t>Доля выручки 13-18 мес.</t>
  </si>
  <si>
    <t>Доля выручки 19-24 мес.</t>
  </si>
  <si>
    <t>подход к пику</t>
  </si>
  <si>
    <t>LFL рост после 24 мес. (%/год)</t>
  </si>
  <si>
    <t>B: реалистичный LFL при инфляции 7-9%</t>
  </si>
  <si>
    <t>ЗАТРАТЫ ФЛАГМАНА (% от выручки)</t>
  </si>
  <si>
    <t>COGS флагмана</t>
  </si>
  <si>
    <t>C: валовая 34% Y3+ за счёт собств. кулинарии и узб. импорта</t>
  </si>
  <si>
    <t>Аренда флагмана (Y1; индексация 8%/год)</t>
  </si>
  <si>
    <t>A: ₽65K/м²/год × 300 м² = ₽1.625M/мес</t>
  </si>
  <si>
    <t>ФОТ + соцналоги флагмана</t>
  </si>
  <si>
    <t>C: 32 чел. × ₽110K средн. = ₽3.5M/мес total cost</t>
  </si>
  <si>
    <t>Эквайринг с НДС 22% флагмана</t>
  </si>
  <si>
    <t>НОВОЕ v3.1: 2,0% × 1,22 = 2,44%; раньше зашито в "Прочее"</t>
  </si>
  <si>
    <t>Прочее флагмана (упак., потери, лог., комм., IT)</t>
  </si>
  <si>
    <t>C: было 15%, минус эквайринг 2,44% = 12,6%</t>
  </si>
  <si>
    <t>ЗАТРАТЫ КОМПАКТНОГО (% от выручки)</t>
  </si>
  <si>
    <t>COGS компактного</t>
  </si>
  <si>
    <t>C: маржа 31% (без премии узб.эксклюзива)</t>
  </si>
  <si>
    <t>Аренда компактного (Y1; индексация 8%/год)</t>
  </si>
  <si>
    <t>A: ₽55K/м²/год × 200 м² = ₽917K/мес</t>
  </si>
  <si>
    <t>ФОТ + соцналоги компактного</t>
  </si>
  <si>
    <t>C: 17 чел. × ₽105K = ₽1.8M/мес total cost</t>
  </si>
  <si>
    <t>Эквайринг с НДС 22% компактного</t>
  </si>
  <si>
    <t>НОВОЕ v3.1: разнесено отдельно для прозрачности</t>
  </si>
  <si>
    <t>Прочее компактного (упак., потери, лог., комм., IT)</t>
  </si>
  <si>
    <t>было 15%, минус эквайринг 2,44%</t>
  </si>
  <si>
    <t>СЕТЬ — план открытия (флагман + компактные)</t>
  </si>
  <si>
    <t>Y1 — флагманов открыто</t>
  </si>
  <si>
    <t>Текстильщики (или Алтуфьево)</t>
  </si>
  <si>
    <t>Y1 — компактных открыто</t>
  </si>
  <si>
    <t>волна 1: Люблино, Кузьминки, Текстильщики, Выхино, Котельники</t>
  </si>
  <si>
    <t>Y2 — флагманов открыто</t>
  </si>
  <si>
    <t>СПб (масштабирование флагман-формата)</t>
  </si>
  <si>
    <t>Y2 — компактных открыто</t>
  </si>
  <si>
    <t>доплотнение Москвы + Казань 2</t>
  </si>
  <si>
    <t>Y3 — флагманов открыто</t>
  </si>
  <si>
    <t>Казань (флагман в татарской столице)</t>
  </si>
  <si>
    <t>Y3 — компактных открыто</t>
  </si>
  <si>
    <t>старт франчайзинга компактных</t>
  </si>
  <si>
    <t>Y4 — флагманов открыто</t>
  </si>
  <si>
    <t>фокус на масштабирование компактных</t>
  </si>
  <si>
    <t>Y4 — компактных открыто</t>
  </si>
  <si>
    <t>Y5 — флагманов открыто</t>
  </si>
  <si>
    <t>Y5 — компактных открыто</t>
  </si>
  <si>
    <t>итого 65 магазинов в 6+ городах</t>
  </si>
  <si>
    <t>СЕТЬ — корпоративные расходы (% от выручки, УБЫВАЮЩИЕ)</t>
  </si>
  <si>
    <t>HQ + категория + IT — Y1</t>
  </si>
  <si>
    <t>НОВОЕ v3.1: на старте 5% (раньше плоско 4%)</t>
  </si>
  <si>
    <t>HQ + категория + IT — Y2</t>
  </si>
  <si>
    <t>снижение по мере роста выручки сети</t>
  </si>
  <si>
    <t>HQ + категория + IT — Y3</t>
  </si>
  <si>
    <t>HQ + категория + IT — Y4</t>
  </si>
  <si>
    <t>HQ + категория + IT — Y5</t>
  </si>
  <si>
    <t>эффект масштаба → benchmark Х5/Магнит</t>
  </si>
  <si>
    <t>Маркетинг и бренд</t>
  </si>
  <si>
    <t>базовый 2-3%; пиковые волны до 4%</t>
  </si>
  <si>
    <t>РЦ + центральная кулинария (с Y2)</t>
  </si>
  <si>
    <t>D+C: РЦ ₽80M Series A + операционные</t>
  </si>
  <si>
    <t>Сертификация двойная (СМР + ДУМ Татарстана)</t>
  </si>
  <si>
    <t>B: ₽8-14M Y1, ₽3-5M/год поддержание</t>
  </si>
  <si>
    <t>P&amp;L флагмана 300 м² · 24 месяца</t>
  </si>
  <si>
    <t>CapEx ₽45M, выручка ₽9,7M/мес на пике (бенчмарк Бахетле Москва)</t>
  </si>
  <si>
    <t>Показатель / месяц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</si>
  <si>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</si>
  <si>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</si>
  <si>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</si>
  <si>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</si>
  <si>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</si>
  <si>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</si>
  <si>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</si>
  <si>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</si>
  <si>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</si>
  <si>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</si>
  <si>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</si>
  <si>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</si>
  <si>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</si>
  <si>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</si>
  <si>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</si>
  <si>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</si>
  <si>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</si>
  <si>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</si>
  <si>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</si>
  <si>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</si>
  <si>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</si>
  <si>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</si>
  <si>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</si>
  <si>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</si>
  <si>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Доля от пика</t>
  </si>
  <si>
    <t>Выручка</t>
  </si>
  <si>
    <t>COGS</t>
  </si>
  <si>
    <t>Валовая прибыль</t>
  </si>
  <si>
    <t>Аренда</t>
  </si>
  <si>
    <t>ФОТ</t>
  </si>
  <si>
    <t>Эквайринг (с НДС 22%)</t>
  </si>
  <si>
    <t>Прочее</t>
  </si>
  <si>
    <t>EBITDA магазина</t>
  </si>
  <si>
    <t>EBITDA-маржа</t>
  </si>
  <si>
    <t>Накопленный CF</t>
  </si>
  <si>
    <t>Итоги флагмана — годовые</t>
  </si>
  <si>
    <t>EBITDA</t>
  </si>
  <si>
    <t>Год 1 (M1-M12)</t>
  </si>
  <si>
    <t>Год 2 (M13-M24)</t>
  </si>
  <si>
    <t>Год 3+ (зрелый, с LFL)</t>
  </si>
  <si>
    <t>Payback флагмана (мес.)</t>
  </si>
  <si>
    <t>месяцев до накопленного плюса (магнит трафика, payback может выйти за 24 мес)</t>
  </si>
  <si>
    <t>P&amp;L компактного магазина 200 м² · 24 месяца</t>
  </si>
  <si>
    <t>CapEx ₽26M, выручка ₽6,7M/мес на пике</t>
  </si>
  <si>
    <t>Итоги компактного — годовые</t>
  </si>
  <si>
    <t>Год 3+ (зрелый)</t>
  </si>
  <si>
    <t>Payback компактного (мес.)</t>
  </si>
  <si>
    <t>месяцев до накопленного плюса (целевой 30-36 мес)</t>
  </si>
  <si>
    <t>Сеть «Чапан» — прогноз 5 лет (гибридный формат)</t>
  </si>
  <si>
    <t>1-3 флагмана + 62 компактных = 65 магазинов к Y5 · с убывающим HQ и НДС эквайринг</t>
  </si>
  <si>
    <t>Показатель / год</t>
  </si>
  <si>
    <t>Y1 (2026)</t>
  </si>
  <si>
    <t>Y2 (2027)</t>
  </si>
  <si>
    <t>Y3 (2028)</t>
  </si>
  <si>
    <t>Y4 (2029)</t>
  </si>
  <si>
    <t>Y5 (2030)</t>
  </si>
  <si>
    <t>Открыто флагманов за год</t>
  </si>
  <si>
    <t>Открыто компактных за год</t>
  </si>
  <si>
    <t>Флагманов на конец года</t>
  </si>
  <si>
    <t>Компактных на конец года</t>
  </si>
  <si>
    <t>Всего магазинов</t>
  </si>
  <si>
    <t>Зрелость когорты (доля от пика)</t>
  </si>
  <si>
    <t>1-й год работы</t>
  </si>
  <si>
    <t>2-й год работы</t>
  </si>
  <si>
    <t>3+ год (с LFL)</t>
  </si>
  <si>
    <t>Выручка флагманов по когортам</t>
  </si>
  <si>
    <t>Флагманы открытые в Y1 (2026)</t>
  </si>
  <si>
    <t>Флагманы открытые в Y2 (2027)</t>
  </si>
  <si>
    <t>Флагманы открытые в Y3 (2028)</t>
  </si>
  <si>
    <t>Флагманы открытые в Y4 (2029)</t>
  </si>
  <si>
    <t>Флагманы открытые в Y5 (2030)</t>
  </si>
  <si>
    <t>Итого выручка флагманов</t>
  </si>
  <si>
    <t>Выручка компактных по когортам</t>
  </si>
  <si>
    <t>Компактные открытые в Y1 (2026)</t>
  </si>
  <si>
    <t>Компактные открытые в Y2 (2027)</t>
  </si>
  <si>
    <t>Компактные открытые в Y3 (2028)</t>
  </si>
  <si>
    <t>Компактные открытые в Y4 (2029)</t>
  </si>
  <si>
    <t>Компактные открытые в Y5 (2030)</t>
  </si>
  <si>
    <t>Итого выручка компактных</t>
  </si>
  <si>
    <t>ВЫРУЧКА СЕТИ</t>
  </si>
  <si>
    <t>Затраты сети (взвешенные)</t>
  </si>
  <si>
    <t>ФОТ магазинов</t>
  </si>
  <si>
    <t>Прочее операционное</t>
  </si>
  <si>
    <t>HQ + категория + IT (убывающее)</t>
  </si>
  <si>
    <t>РЦ + центральная кулинария (Y2+)</t>
  </si>
  <si>
    <t>Сертификация двойная</t>
  </si>
  <si>
    <t>EBITDA СЕТИ</t>
  </si>
  <si>
    <t>CapEx и финансирование</t>
  </si>
  <si>
    <t>CapEx новые флагманы</t>
  </si>
  <si>
    <t>CapEx новые компактные</t>
  </si>
  <si>
    <t>CapEx год итого</t>
  </si>
  <si>
    <t>Кумулятивный CapEx</t>
  </si>
  <si>
    <t>Series A — раунд ₽400M (v3.1: депозиты+ОАТИ выделены отдельно)</t>
  </si>
  <si>
    <t>Пилот: 1 флагман + 5 компактных + центральный цех (Y2)</t>
  </si>
  <si>
    <t>Статья</t>
  </si>
  <si>
    <t>Сумма</t>
  </si>
  <si>
    <t>Доля</t>
  </si>
  <si>
    <t>Комментарий</t>
  </si>
  <si>
    <t>CapEx · 1 флагман</t>
  </si>
  <si>
    <t>Текстильщики или Алтуфьево, 300 м², полный цикл + Россети ₽10M</t>
  </si>
  <si>
    <t>CapEx · 5 компактных магазинов</t>
  </si>
  <si>
    <t>Котельники + волна 1, 200 м² × ₽26M</t>
  </si>
  <si>
    <t>РЦ + центральная кулинария (Y2)</t>
  </si>
  <si>
    <t>Производство кулинарии, мини-РЦ халяль с холодильными камерами</t>
  </si>
  <si>
    <t>Команда + операционный запуск 18 мес</t>
  </si>
  <si>
    <t>Кагиров А.-Х. (COO), CCO, шеф-технолог, Development, HR, CFO</t>
  </si>
  <si>
    <t>Бренд и маркетинг (open + первые 12 мес)</t>
  </si>
  <si>
    <t>Открытие точек, локальные кампании, диджитал, СММ</t>
  </si>
  <si>
    <t>Аудит цепочки + точек + 800 SKU в Y1</t>
  </si>
  <si>
    <t>Депозиты арендодателей + ОАТИ + согласования</t>
  </si>
  <si>
    <t>НОВОЕ v3.1: 6 точек × 2-3 мес. аренды (~₽5M) + согласование вывесок ОАТИ ₽1M-каждая</t>
  </si>
  <si>
    <t>Оборотный капитал и резерв</t>
  </si>
  <si>
    <t>V3.1: 30M (раньше 40M); подушка по требованию банка</t>
  </si>
  <si>
    <t>ИТОГО Series A</t>
  </si>
  <si>
    <t>Структура финансирования Series A (mix 30/70)</t>
  </si>
  <si>
    <t>Equity-якорь</t>
  </si>
  <si>
    <t>Долговое финансирование</t>
  </si>
  <si>
    <t>РЕЗЕРВНОЕ ФИНАНСИРОВАНИЕ (за пределами Series A ₽400M)</t>
  </si>
  <si>
    <t>Stand-by кредитная линия</t>
  </si>
  <si>
    <t>на риск</t>
  </si>
  <si>
    <t>Series B (через 24 мес)</t>
  </si>
  <si>
    <t>Размер второго раунда</t>
  </si>
  <si>
    <t>Сценарии Y5 + Рамадан-эффект</t>
  </si>
  <si>
    <t>База · Оптимист +25% · Пессимист −20% · Чёрный лебедь · Рамадан-уплифт</t>
  </si>
  <si>
    <t>Базовый</t>
  </si>
  <si>
    <t>Оптимистичный +25%</t>
  </si>
  <si>
    <t>Пессимистичный −20%</t>
  </si>
  <si>
    <t>Чёрный лебедь</t>
  </si>
  <si>
    <t>Рамадан-уплифт</t>
  </si>
  <si>
    <t>Множитель к выручке</t>
  </si>
  <si>
    <t>Множитель к EBITDA</t>
  </si>
  <si>
    <t>Y5 выручка сети</t>
  </si>
  <si>
    <t>Y5 EBITDA сети</t>
  </si>
  <si>
    <t>Y5 EBITDA-маржа</t>
  </si>
  <si>
    <t>Драйверы и риски сценариев</t>
  </si>
  <si>
    <t>Оптимистичный</t>
  </si>
  <si>
    <t>M&amp;A локальной халяль-сети ₽80-100M + СТМ-доля 18-22% к Y3 + онлайн 12-15% выручки через Самокат/Купер</t>
  </si>
  <si>
    <t>Пессимистичный</t>
  </si>
  <si>
    <t>Задержка МОЭСК 9-14 мес → CapEx +15%; отказ якорного инвестора → equity gap ₽100M; запрет наружной рекламы халяль</t>
  </si>
  <si>
    <t>Чек -30% + КС 25% → DSCR 0,7-0,9× → технический дефолт Q3 Y2. Митигация: stand-by ₽80M (см. Use of funds лист) + cure rights бенефициара</t>
  </si>
  <si>
    <t>Рамадан-уплифт (НОВОЕ v3.1)</t>
  </si>
  <si>
    <t>Март-апрель: выручка +40-60% в вечерние часы (ифтар), Ураза-байрам и Курбан-байрам — пики +80-120% за 2-3 дня. Промо-наборы ифтар (финики, мука, рис) → +8% к годовой выручке. EBITDA +18% за счёт операционного рычага (постоянные FOT + аренда не растут).</t>
  </si>
  <si>
    <t>Чапан v3.1 — ключевые показатели</t>
  </si>
  <si>
    <t>После 2 раундов аудита + апдейт тарифов мая 2026 (НДС эквайринг, убывающий HQ, Рамадан)</t>
  </si>
  <si>
    <t>Макро-контекст 2026</t>
  </si>
  <si>
    <t>Ставка ЦБ РФ (рабочая)</t>
  </si>
  <si>
    <t>Кредитная ставка (КС + 6 п.п.)</t>
  </si>
  <si>
    <t>НДС на эквайринг</t>
  </si>
  <si>
    <t>Эквайринг % выручки (с НДС)</t>
  </si>
  <si>
    <t>Индексация аренды (CPI-link)</t>
  </si>
  <si>
    <t>Магазин — Флагман 300 м²</t>
  </si>
  <si>
    <t>CapEx «под ключ»</t>
  </si>
  <si>
    <t>Средний чек</t>
  </si>
  <si>
    <t>Выручка/мес на пике</t>
  </si>
  <si>
    <t>Выручка/год на пике</t>
  </si>
  <si>
    <t>Команда</t>
  </si>
  <si>
    <t>Валовая маржа</t>
  </si>
  <si>
    <t>EBITDA-маржа на пике</t>
  </si>
  <si>
    <t>Магазин — Компактный 200 м²</t>
  </si>
  <si>
    <t>Сеть — 5 лет</t>
  </si>
  <si>
    <t>Магазинов на конец Y5</t>
  </si>
  <si>
    <t>Выручка Y5</t>
  </si>
  <si>
    <t>EBITDA Y5</t>
  </si>
  <si>
    <t>EBITDA-маржа Y5</t>
  </si>
  <si>
    <t>Series A раунд</t>
  </si>
  <si>
    <t>Размер Series A</t>
  </si>
  <si>
    <t>Equity-якорь (70%)</t>
  </si>
  <si>
    <t>Долг банка (30%)</t>
  </si>
  <si>
    <t>Stand-by кредит (резерв)</t>
  </si>
  <si>
    <t>IRR инвестора (целевой)</t>
  </si>
  <si>
    <t>Базовый сценарий</t>
  </si>
  <si>
    <t>15-19%</t>
  </si>
  <si>
    <t>честный, после раунда 2 аудита</t>
  </si>
  <si>
    <t>С Рамадан-уплифтом</t>
  </si>
  <si>
    <t>17-22%</t>
  </si>
  <si>
    <t>НОВОЕ v3.1: учёт сезонного пика март-апрель</t>
  </si>
  <si>
    <t>Этот лист — снимок ключевых метрик. Все цифры пересчитываются автоматически из листа «Допущения».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</si>
</sst>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 &quot;₽&quot;"/>
    <numFmt numFmtId="166" formatCode="#,##0"/>
    <numFmt numFmtId="167" formatCode="#,##0 &quot;₽&quot;;[Red]-#,##0 &quot;₽&quot;"/>
  </numFmts>
  <fonts count="10">
    <font>
      <sz val="11"/>
      <color theme="1"/>
      <name val="Calibri"/>
      <family val="2"/>
      <scheme val="minor"/>
    </font>
    <font>
      <b/>
      <sz val="18"/>
      <color rgb="FFC8102E"/>
      <name val="Calibri"/>
      <family val="2"/>
      <scheme val="minor"/>
    </font>
    <font>
      <i/>
      <sz val="12"/>
      <color rgb="FF1E6B3A"/>
      <name val="Calibri"/>
      <family val="2"/>
      <scheme val="minor"/>
    </font>
    <font>
      <b/>
      <sz val="14"/>
      <color rgb="FF1A1A1A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5C5C5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8C6E1E"/>
      <name val="Calibri"/>
      <family val="2"/>
      <scheme val="minor"/>
    </font>
    <font>
      <b/>
      <sz val="11"/>
      <color rgb="FF1A1A1A"/>
      <name val="Calibri"/>
      <family val="2"/>
      <scheme val="minor"/>
    </font>
    <font>
      <b/>
      <sz val="11"/>
      <color rgb="FFFAF6EE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6EE"/>
        <bgColor indexed="64"/>
      </patternFill>
    </fill>
    <fill>
      <patternFill patternType="solid">
        <fgColor rgb="FFF5F0E5"/>
        <bgColor indexed="64"/>
      </patternFill>
    </fill>
    <fill>
      <patternFill patternType="solid">
        <fgColor rgb="FF1E6B3A"/>
        <bgColor indexed="64"/>
      </patternFill>
    </fill>
    <fill>
      <patternFill patternType="solid">
        <fgColor rgb="FFFFF6E0"/>
        <bgColor indexed="64"/>
      </patternFill>
    </fill>
    <fill>
      <patternFill patternType="solid">
        <fgColor rgb="FF1A1A1A"/>
        <bgColor indexed="64"/>
      </patternFill>
    </fill>
    <fill>
      <patternFill patternType="solid">
        <fgColor rgb="FFC8102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8102E"/>
      </bottom>
      <diagonal/>
    </border>
    <border>
      <left style="thin">
        <color rgb="FFE5DFD2"/>
      </left>
      <right style="thin">
        <color rgb="FFE5DFD2"/>
      </right>
      <top style="thin">
        <color rgb="FFE5DFD2"/>
      </top>
      <bottom style="thin">
        <color rgb="FFE5DFD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2" xfId="0" applyFont="1" applyFill="1" applyBorder="1"/>
    <xf numFmtId="164" fontId="4" fillId="3" borderId="2" xfId="0" applyNumberFormat="1" applyFont="1" applyFill="1" applyBorder="1"/>
    <xf numFmtId="165" fontId="4" fillId="3" borderId="2" xfId="0" applyNumberFormat="1" applyFont="1" applyFill="1" applyBorder="1"/>
    <xf numFmtId="166" fontId="4" fillId="3" borderId="2" xfId="0" applyNumberFormat="1" applyFont="1" applyFill="1" applyBorder="1"/>
    <xf numFmtId="0" fontId="5" fillId="0" borderId="0" xfId="0" applyFont="1"/>
    <xf numFmtId="164" fontId="6" fillId="4" borderId="2" xfId="0" applyNumberFormat="1" applyFont="1" applyFill="1" applyBorder="1"/>
    <xf numFmtId="166" fontId="7" fillId="5" borderId="2" xfId="0" applyNumberFormat="1" applyFont="1" applyFill="1" applyBorder="1"/>
    <xf numFmtId="164" fontId="7" fillId="5" borderId="2" xfId="0" applyNumberFormat="1" applyFont="1" applyFill="1" applyBorder="1"/>
    <xf numFmtId="165" fontId="7" fillId="5" borderId="2" xfId="0" applyNumberFormat="1" applyFont="1" applyFill="1" applyBorder="1"/>
    <xf numFmtId="0" fontId="8" fillId="2" borderId="2" xfId="0" applyFont="1" applyFill="1" applyBorder="1"/>
    <xf numFmtId="0" fontId="9" fillId="6" borderId="3" xfId="0" applyFont="1" applyFill="1" applyBorder="1" applyAlignment="1">
      <alignment horizontal="center"/>
    </xf>
    <xf numFmtId="164" fontId="0" fillId="0" borderId="2" xfId="0" applyNumberFormat="1" applyBorder="1"/>
    <xf numFmtId="165" fontId="0" fillId="0" borderId="2" xfId="0" applyNumberFormat="1" applyBorder="1"/>
    <xf numFmtId="167" fontId="0" fillId="0" borderId="2" xfId="0" applyNumberFormat="1" applyBorder="1"/>
    <xf numFmtId="166" fontId="0" fillId="0" borderId="2" xfId="0" applyNumberFormat="1" applyBorder="1"/>
    <xf numFmtId="165" fontId="6" fillId="7" borderId="3" xfId="0" applyNumberFormat="1" applyFont="1" applyFill="1" applyBorder="1"/>
  </cellXfs>
  <cellStyles count="1">
    <cellStyle name="Normal" xfId="0" builtinId="0"/>
  </cellStyles>
  <dxfs count="2">
    <dxf>
      <font>
        <color rgb="FFC8102E"/>
      </font>
      <numFmt numFmtId="167" formatCode="#,##0 &quot;₽&quot;;[Red]-#,##0 &quot;₽&quot;"/>
      <border>
        <left style="thin">
          <color rgb="FFE5DFD2"/>
        </left>
        <right style="thin">
          <color rgb="FFE5DFD2"/>
        </right>
        <top style="thin">
          <color rgb="FFE5DFD2"/>
        </top>
        <bottom style="thin">
          <color rgb="FFE5DFD2"/>
        </bottom>
        <vertical/>
        <horizontal/>
      </border>
    </dxf>
    <dxf>
      <font>
        <b/>
        <color rgb="FF1E6B3A"/>
      </font>
      <numFmt numFmtId="165" formatCode="#,##0 &quot;₽&quot;"/>
      <border>
        <left style="thin">
          <color rgb="FFE5DFD2"/>
        </left>
        <right style="thin">
          <color rgb="FFE5DFD2"/>
        </right>
        <top style="thin">
          <color rgb="FFE5DFD2"/>
        </top>
        <bottom style="thin">
          <color rgb="FFE5DFD2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51"/>
  <sheetViews>
    <sheetView tabSelected="1" workbookViewId="0"/>
  </sheetViews>
  <sheetFormatPr defaultRowHeight="15"/>
  <cols>
    <col min="1" max="1" width="2.7109375" customWidth="1"/>
    <col min="2" max="2" width="44.7109375" customWidth="1"/>
    <col min="3" max="5" width="18.7109375" customWidth="1"/>
  </cols>
  <sheetData>
    <row r="2" spans="2:3">
      <c r="B2" s="1" t="s">
        <v>264</v>
      </c>
    </row>
    <row r="3" spans="2:3">
      <c r="B3" s="2" t="s">
        <v>265</v>
      </c>
    </row>
    <row r="5" spans="2:3">
      <c r="B5" s="3" t="s">
        <v>266</v>
      </c>
    </row>
    <row r="6" spans="2:3">
      <c r="B6" s="4" t="s">
        <v>267</v>
      </c>
      <c r="C6" s="5">
        <f>Допущения!$C$8</f>
        <v>0</v>
      </c>
    </row>
    <row r="7" spans="2:3">
      <c r="B7" s="4" t="s">
        <v>268</v>
      </c>
      <c r="C7" s="5">
        <f>Допущения!$C$9</f>
        <v>0</v>
      </c>
    </row>
    <row r="8" spans="2:3">
      <c r="B8" s="4" t="s">
        <v>269</v>
      </c>
      <c r="C8" s="5">
        <f>Допущения!$C$10</f>
        <v>0</v>
      </c>
    </row>
    <row r="9" spans="2:3">
      <c r="B9" s="4" t="s">
        <v>270</v>
      </c>
      <c r="C9" s="5">
        <f>Допущения!$C$12</f>
        <v>0</v>
      </c>
    </row>
    <row r="10" spans="2:3">
      <c r="B10" s="4" t="s">
        <v>271</v>
      </c>
      <c r="C10" s="5">
        <f>Допущения!$C$13</f>
        <v>0</v>
      </c>
    </row>
    <row r="12" spans="2:3">
      <c r="B12" s="3" t="s">
        <v>272</v>
      </c>
    </row>
    <row r="13" spans="2:3">
      <c r="B13" s="4" t="s">
        <v>273</v>
      </c>
      <c r="C13" s="6">
        <f>Допущения!$C$27</f>
        <v>0</v>
      </c>
    </row>
    <row r="14" spans="2:3">
      <c r="B14" s="4" t="s">
        <v>274</v>
      </c>
      <c r="C14" s="6">
        <f>Допущения!$C$29</f>
        <v>0</v>
      </c>
    </row>
    <row r="15" spans="2:3">
      <c r="B15" s="4" t="s">
        <v>275</v>
      </c>
      <c r="C15" s="6">
        <f>(Допущения!$C$29*Допущения!$C$30*Допущения!$C$39)</f>
        <v>0</v>
      </c>
    </row>
    <row r="16" spans="2:3">
      <c r="B16" s="4" t="s">
        <v>276</v>
      </c>
      <c r="C16" s="6">
        <f>(Допущения!$C$29*Допущения!$C$30*Допущения!$C$39)*12</f>
        <v>0</v>
      </c>
    </row>
    <row r="17" spans="2:3">
      <c r="B17" s="4" t="s">
        <v>277</v>
      </c>
      <c r="C17" s="7">
        <f>Допущения!$C$28</f>
        <v>0</v>
      </c>
    </row>
    <row r="18" spans="2:3">
      <c r="B18" s="4" t="s">
        <v>278</v>
      </c>
      <c r="C18" s="5">
        <f>1-Допущения!$C$50</f>
        <v>0</v>
      </c>
    </row>
    <row r="19" spans="2:3">
      <c r="B19" s="4" t="s">
        <v>279</v>
      </c>
      <c r="C19" s="5">
        <f>1-Допущения!$C$50-Допущения!$C$51-Допущения!$C$52-Допущения!$C$53-Допущения!$C$54</f>
        <v>0</v>
      </c>
    </row>
    <row r="21" spans="2:3">
      <c r="B21" s="3" t="s">
        <v>280</v>
      </c>
    </row>
    <row r="22" spans="2:3">
      <c r="B22" s="4" t="s">
        <v>273</v>
      </c>
      <c r="C22" s="6">
        <f>Допущения!$C$34</f>
        <v>0</v>
      </c>
    </row>
    <row r="23" spans="2:3">
      <c r="B23" s="4" t="s">
        <v>274</v>
      </c>
      <c r="C23" s="6">
        <f>Допущения!$C$36</f>
        <v>0</v>
      </c>
    </row>
    <row r="24" spans="2:3">
      <c r="B24" s="4" t="s">
        <v>275</v>
      </c>
      <c r="C24" s="6">
        <f>(Допущения!$C$36*Допущения!$C$37*Допущения!$C$39)</f>
        <v>0</v>
      </c>
    </row>
    <row r="25" spans="2:3">
      <c r="B25" s="4" t="s">
        <v>276</v>
      </c>
      <c r="C25" s="6">
        <f>(Допущения!$C$36*Допущения!$C$37*Допущения!$C$39)*12</f>
        <v>0</v>
      </c>
    </row>
    <row r="26" spans="2:3">
      <c r="B26" s="4" t="s">
        <v>277</v>
      </c>
      <c r="C26" s="7">
        <f>Допущения!$C$35</f>
        <v>0</v>
      </c>
    </row>
    <row r="27" spans="2:3">
      <c r="B27" s="4" t="s">
        <v>278</v>
      </c>
      <c r="C27" s="5">
        <f>1-Допущения!$C$57</f>
        <v>0</v>
      </c>
    </row>
    <row r="28" spans="2:3">
      <c r="B28" s="4" t="s">
        <v>279</v>
      </c>
      <c r="C28" s="5">
        <f>1-Допущения!$C$57-Допущения!$C$58-Допущения!$C$59-Допущения!$C$60-Допущения!$C$61</f>
        <v>0</v>
      </c>
    </row>
    <row r="29" spans="2:3">
      <c r="B29" s="4" t="s">
        <v>168</v>
      </c>
      <c r="C29" s="7">
        <f>'Магазин-компакт'!C23</f>
        <v>0</v>
      </c>
    </row>
    <row r="31" spans="2:3">
      <c r="B31" s="3" t="s">
        <v>281</v>
      </c>
    </row>
    <row r="32" spans="2:3">
      <c r="B32" s="4" t="s">
        <v>282</v>
      </c>
      <c r="C32" s="7">
        <f>'Сеть 5 лет'!G10</f>
        <v>0</v>
      </c>
    </row>
    <row r="33" spans="2:4">
      <c r="B33" s="4" t="s">
        <v>283</v>
      </c>
      <c r="C33" s="6">
        <f>'Сеть 5 лет'!G33</f>
        <v>0</v>
      </c>
    </row>
    <row r="34" spans="2:4">
      <c r="B34" s="4" t="s">
        <v>284</v>
      </c>
      <c r="C34" s="6">
        <f>'Сеть 5 лет'!G45</f>
        <v>0</v>
      </c>
    </row>
    <row r="35" spans="2:4">
      <c r="B35" s="4" t="s">
        <v>285</v>
      </c>
      <c r="C35" s="5">
        <f>'Сеть 5 лет'!G46</f>
        <v>0</v>
      </c>
    </row>
    <row r="38" spans="2:4">
      <c r="B38" s="3" t="s">
        <v>286</v>
      </c>
    </row>
    <row r="39" spans="2:4">
      <c r="B39" s="4" t="s">
        <v>287</v>
      </c>
      <c r="C39" s="6">
        <f>'Use of funds'!C14</f>
        <v>0</v>
      </c>
    </row>
    <row r="40" spans="2:4">
      <c r="B40" s="4" t="s">
        <v>288</v>
      </c>
      <c r="C40" s="6">
        <f>'Use of funds'!C18</f>
        <v>0</v>
      </c>
    </row>
    <row r="41" spans="2:4">
      <c r="B41" s="4" t="s">
        <v>289</v>
      </c>
      <c r="C41" s="6">
        <f>'Use of funds'!C19</f>
        <v>0</v>
      </c>
    </row>
    <row r="42" spans="2:4">
      <c r="B42" s="4" t="s">
        <v>290</v>
      </c>
      <c r="C42" s="6">
        <f>'Use of funds'!C22</f>
        <v>0</v>
      </c>
    </row>
    <row r="43" spans="2:4">
      <c r="B43" s="4" t="s">
        <v>242</v>
      </c>
      <c r="C43" s="6">
        <f>'Use of funds'!C25</f>
        <v>0</v>
      </c>
    </row>
    <row r="46" spans="2:4">
      <c r="B46" s="3" t="s">
        <v>291</v>
      </c>
    </row>
    <row r="47" spans="2:4">
      <c r="B47" s="4" t="s">
        <v>292</v>
      </c>
      <c r="C47" s="7" t="s">
        <v>293</v>
      </c>
      <c r="D47" s="8" t="s">
        <v>294</v>
      </c>
    </row>
    <row r="48" spans="2:4">
      <c r="B48" s="4" t="s">
        <v>295</v>
      </c>
      <c r="C48" s="7" t="s">
        <v>296</v>
      </c>
      <c r="D48" s="8" t="s">
        <v>297</v>
      </c>
    </row>
    <row r="51" spans="2:2">
      <c r="B51" s="8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D83"/>
  <sheetViews>
    <sheetView workbookViewId="0"/>
  </sheetViews>
  <sheetFormatPr defaultRowHeight="15"/>
  <cols>
    <col min="1" max="1" width="2.7109375" customWidth="1"/>
    <col min="2" max="2" width="50.7109375" customWidth="1"/>
    <col min="3" max="3" width="18.7109375" customWidth="1"/>
    <col min="4" max="4" width="70.7109375" customWidth="1"/>
  </cols>
  <sheetData>
    <row r="2" spans="2:4">
      <c r="B2" s="1" t="s">
        <v>0</v>
      </c>
    </row>
    <row r="3" spans="2:4">
      <c r="B3" s="2" t="s">
        <v>1</v>
      </c>
    </row>
    <row r="5" spans="2:4">
      <c r="B5" s="8" t="s">
        <v>2</v>
      </c>
    </row>
    <row r="7" spans="2:4">
      <c r="B7" s="3" t="s">
        <v>3</v>
      </c>
    </row>
    <row r="8" spans="2:4">
      <c r="B8" s="4" t="s">
        <v>4</v>
      </c>
      <c r="C8" s="9">
        <v>0.21</v>
      </c>
      <c r="D8" s="8" t="s">
        <v>5</v>
      </c>
    </row>
    <row r="9" spans="2:4">
      <c r="B9" s="4" t="s">
        <v>6</v>
      </c>
      <c r="C9" s="9">
        <v>0.27</v>
      </c>
      <c r="D9" s="8" t="s">
        <v>7</v>
      </c>
    </row>
    <row r="10" spans="2:4">
      <c r="B10" s="4" t="s">
        <v>8</v>
      </c>
      <c r="C10" s="9">
        <v>0.22</v>
      </c>
      <c r="D10" s="8" t="s">
        <v>9</v>
      </c>
    </row>
    <row r="11" spans="2:4">
      <c r="B11" s="4" t="s">
        <v>10</v>
      </c>
      <c r="C11" s="9">
        <v>0.02</v>
      </c>
      <c r="D11" s="8" t="s">
        <v>11</v>
      </c>
    </row>
    <row r="12" spans="2:4">
      <c r="B12" s="4" t="s">
        <v>12</v>
      </c>
      <c r="C12" s="9">
        <v>0.0244</v>
      </c>
      <c r="D12" s="8" t="s">
        <v>13</v>
      </c>
    </row>
    <row r="13" spans="2:4">
      <c r="B13" s="4" t="s">
        <v>14</v>
      </c>
      <c r="C13" s="9">
        <v>0.08</v>
      </c>
      <c r="D13" s="8" t="s">
        <v>15</v>
      </c>
    </row>
    <row r="14" spans="2:4">
      <c r="B14" s="4" t="s">
        <v>16</v>
      </c>
      <c r="C14" s="9">
        <v>0.08</v>
      </c>
      <c r="D14" s="8" t="s">
        <v>17</v>
      </c>
    </row>
    <row r="15" spans="2:4">
      <c r="B15" s="4" t="s">
        <v>18</v>
      </c>
      <c r="C15" s="9">
        <v>0.07000000000000001</v>
      </c>
      <c r="D15" s="8" t="s">
        <v>19</v>
      </c>
    </row>
    <row r="16" spans="2:4">
      <c r="B16" s="4" t="s">
        <v>20</v>
      </c>
      <c r="C16" s="9">
        <v>0.18</v>
      </c>
      <c r="D16" s="8" t="s">
        <v>21</v>
      </c>
    </row>
    <row r="18" spans="2:4">
      <c r="B18" s="3" t="s">
        <v>22</v>
      </c>
    </row>
    <row r="19" spans="2:4">
      <c r="B19" s="4" t="s">
        <v>23</v>
      </c>
      <c r="C19" s="10">
        <v>20</v>
      </c>
      <c r="D19" s="8" t="s">
        <v>24</v>
      </c>
    </row>
    <row r="20" spans="2:4">
      <c r="B20" s="4" t="s">
        <v>25</v>
      </c>
      <c r="C20" s="10">
        <v>12</v>
      </c>
      <c r="D20" s="8" t="s">
        <v>26</v>
      </c>
    </row>
    <row r="21" spans="2:4">
      <c r="B21" s="4" t="s">
        <v>27</v>
      </c>
      <c r="C21" s="10">
        <v>1000</v>
      </c>
      <c r="D21" s="8" t="s">
        <v>28</v>
      </c>
    </row>
    <row r="22" spans="2:4">
      <c r="B22" s="4" t="s">
        <v>29</v>
      </c>
      <c r="C22" s="11">
        <v>0.1</v>
      </c>
      <c r="D22" s="8" t="s">
        <v>30</v>
      </c>
    </row>
    <row r="23" spans="2:4">
      <c r="B23" s="4" t="s">
        <v>31</v>
      </c>
      <c r="C23" s="11">
        <v>0.12</v>
      </c>
      <c r="D23" s="8" t="s">
        <v>32</v>
      </c>
    </row>
    <row r="25" spans="2:4">
      <c r="B25" s="3" t="s">
        <v>33</v>
      </c>
    </row>
    <row r="26" spans="2:4">
      <c r="B26" s="4" t="s">
        <v>34</v>
      </c>
      <c r="C26" s="10">
        <v>300</v>
      </c>
      <c r="D26" s="8" t="s">
        <v>35</v>
      </c>
    </row>
    <row r="27" spans="2:4">
      <c r="B27" s="4" t="s">
        <v>36</v>
      </c>
      <c r="C27" s="12">
        <v>45000000</v>
      </c>
      <c r="D27" s="8" t="s">
        <v>37</v>
      </c>
    </row>
    <row r="28" spans="2:4">
      <c r="B28" s="4" t="s">
        <v>38</v>
      </c>
      <c r="C28" s="10">
        <v>32</v>
      </c>
      <c r="D28" s="8" t="s">
        <v>39</v>
      </c>
    </row>
    <row r="29" spans="2:4">
      <c r="B29" s="4" t="s">
        <v>40</v>
      </c>
      <c r="C29" s="12">
        <v>1700</v>
      </c>
      <c r="D29" s="8" t="s">
        <v>41</v>
      </c>
    </row>
    <row r="30" spans="2:4">
      <c r="B30" s="4" t="s">
        <v>42</v>
      </c>
      <c r="C30" s="10">
        <v>190</v>
      </c>
      <c r="D30" s="8" t="s">
        <v>43</v>
      </c>
    </row>
    <row r="32" spans="2:4">
      <c r="B32" s="3" t="s">
        <v>44</v>
      </c>
    </row>
    <row r="33" spans="2:4">
      <c r="B33" s="4" t="s">
        <v>34</v>
      </c>
      <c r="C33" s="10">
        <v>200</v>
      </c>
      <c r="D33" s="8" t="s">
        <v>45</v>
      </c>
    </row>
    <row r="34" spans="2:4">
      <c r="B34" s="4" t="s">
        <v>46</v>
      </c>
      <c r="C34" s="12">
        <v>26000000</v>
      </c>
      <c r="D34" s="8" t="s">
        <v>47</v>
      </c>
    </row>
    <row r="35" spans="2:4">
      <c r="B35" s="4" t="s">
        <v>38</v>
      </c>
      <c r="C35" s="10">
        <v>17</v>
      </c>
      <c r="D35" s="8" t="s">
        <v>48</v>
      </c>
    </row>
    <row r="36" spans="2:4">
      <c r="B36" s="4" t="s">
        <v>40</v>
      </c>
      <c r="C36" s="12">
        <v>1400</v>
      </c>
      <c r="D36" s="8" t="s">
        <v>49</v>
      </c>
    </row>
    <row r="37" spans="2:4">
      <c r="B37" s="4" t="s">
        <v>42</v>
      </c>
      <c r="C37" s="10">
        <v>160</v>
      </c>
      <c r="D37" s="8" t="s">
        <v>50</v>
      </c>
    </row>
    <row r="39" spans="2:4">
      <c r="B39" s="4" t="s">
        <v>51</v>
      </c>
      <c r="C39" s="10">
        <v>30</v>
      </c>
      <c r="D39" s="8" t="s">
        <v>52</v>
      </c>
    </row>
    <row r="41" spans="2:4">
      <c r="B41" s="3" t="s">
        <v>53</v>
      </c>
    </row>
    <row r="42" spans="2:4">
      <c r="B42" s="4" t="s">
        <v>54</v>
      </c>
      <c r="C42" s="11">
        <v>0.3</v>
      </c>
      <c r="D42" s="8" t="s">
        <v>55</v>
      </c>
    </row>
    <row r="43" spans="2:4">
      <c r="B43" s="4" t="s">
        <v>56</v>
      </c>
      <c r="C43" s="11">
        <v>0.5</v>
      </c>
      <c r="D43" s="8"/>
    </row>
    <row r="44" spans="2:4">
      <c r="B44" s="4" t="s">
        <v>57</v>
      </c>
      <c r="C44" s="11">
        <v>0.7</v>
      </c>
      <c r="D44" s="8"/>
    </row>
    <row r="45" spans="2:4">
      <c r="B45" s="4" t="s">
        <v>58</v>
      </c>
      <c r="C45" s="11">
        <v>0.85</v>
      </c>
      <c r="D45" s="8"/>
    </row>
    <row r="46" spans="2:4">
      <c r="B46" s="4" t="s">
        <v>59</v>
      </c>
      <c r="C46" s="11">
        <v>0.95</v>
      </c>
      <c r="D46" s="8" t="s">
        <v>60</v>
      </c>
    </row>
    <row r="47" spans="2:4">
      <c r="B47" s="4" t="s">
        <v>61</v>
      </c>
      <c r="C47" s="11">
        <v>0.07000000000000001</v>
      </c>
      <c r="D47" s="8" t="s">
        <v>62</v>
      </c>
    </row>
    <row r="49" spans="2:4">
      <c r="B49" s="3" t="s">
        <v>63</v>
      </c>
    </row>
    <row r="50" spans="2:4">
      <c r="B50" s="4" t="s">
        <v>64</v>
      </c>
      <c r="C50" s="11">
        <v>0.66</v>
      </c>
      <c r="D50" s="8" t="s">
        <v>65</v>
      </c>
    </row>
    <row r="51" spans="2:4">
      <c r="B51" s="4" t="s">
        <v>66</v>
      </c>
      <c r="C51" s="11">
        <v>0.18</v>
      </c>
      <c r="D51" s="8" t="s">
        <v>67</v>
      </c>
    </row>
    <row r="52" spans="2:4">
      <c r="B52" s="4" t="s">
        <v>68</v>
      </c>
      <c r="C52" s="11">
        <v>0.22</v>
      </c>
      <c r="D52" s="8" t="s">
        <v>69</v>
      </c>
    </row>
    <row r="53" spans="2:4">
      <c r="B53" s="4" t="s">
        <v>70</v>
      </c>
      <c r="C53" s="11">
        <v>0.0244</v>
      </c>
      <c r="D53" s="8" t="s">
        <v>71</v>
      </c>
    </row>
    <row r="54" spans="2:4">
      <c r="B54" s="4" t="s">
        <v>72</v>
      </c>
      <c r="C54" s="11">
        <v>0.126</v>
      </c>
      <c r="D54" s="8" t="s">
        <v>73</v>
      </c>
    </row>
    <row r="56" spans="2:4">
      <c r="B56" s="3" t="s">
        <v>74</v>
      </c>
    </row>
    <row r="57" spans="2:4">
      <c r="B57" s="4" t="s">
        <v>75</v>
      </c>
      <c r="C57" s="11">
        <v>0.6899999999999999</v>
      </c>
      <c r="D57" s="8" t="s">
        <v>76</v>
      </c>
    </row>
    <row r="58" spans="2:4">
      <c r="B58" s="4" t="s">
        <v>77</v>
      </c>
      <c r="C58" s="11">
        <v>0.14</v>
      </c>
      <c r="D58" s="8" t="s">
        <v>78</v>
      </c>
    </row>
    <row r="59" spans="2:4">
      <c r="B59" s="4" t="s">
        <v>79</v>
      </c>
      <c r="C59" s="11">
        <v>0.18</v>
      </c>
      <c r="D59" s="8" t="s">
        <v>80</v>
      </c>
    </row>
    <row r="60" spans="2:4">
      <c r="B60" s="4" t="s">
        <v>81</v>
      </c>
      <c r="C60" s="11">
        <v>0.0244</v>
      </c>
      <c r="D60" s="8" t="s">
        <v>82</v>
      </c>
    </row>
    <row r="61" spans="2:4">
      <c r="B61" s="4" t="s">
        <v>83</v>
      </c>
      <c r="C61" s="11">
        <v>0.126</v>
      </c>
      <c r="D61" s="8" t="s">
        <v>84</v>
      </c>
    </row>
    <row r="63" spans="2:4">
      <c r="B63" s="3" t="s">
        <v>85</v>
      </c>
    </row>
    <row r="64" spans="2:4">
      <c r="B64" s="4" t="s">
        <v>86</v>
      </c>
      <c r="C64" s="10">
        <v>1</v>
      </c>
      <c r="D64" s="8" t="s">
        <v>87</v>
      </c>
    </row>
    <row r="65" spans="2:4">
      <c r="B65" s="4" t="s">
        <v>88</v>
      </c>
      <c r="C65" s="10">
        <v>5</v>
      </c>
      <c r="D65" s="8" t="s">
        <v>89</v>
      </c>
    </row>
    <row r="66" spans="2:4">
      <c r="B66" s="4" t="s">
        <v>90</v>
      </c>
      <c r="C66" s="10">
        <v>1</v>
      </c>
      <c r="D66" s="8" t="s">
        <v>91</v>
      </c>
    </row>
    <row r="67" spans="2:4">
      <c r="B67" s="4" t="s">
        <v>92</v>
      </c>
      <c r="C67" s="10">
        <v>12</v>
      </c>
      <c r="D67" s="8" t="s">
        <v>93</v>
      </c>
    </row>
    <row r="68" spans="2:4">
      <c r="B68" s="4" t="s">
        <v>94</v>
      </c>
      <c r="C68" s="10">
        <v>1</v>
      </c>
      <c r="D68" s="8" t="s">
        <v>95</v>
      </c>
    </row>
    <row r="69" spans="2:4">
      <c r="B69" s="4" t="s">
        <v>96</v>
      </c>
      <c r="C69" s="10">
        <v>18</v>
      </c>
      <c r="D69" s="8" t="s">
        <v>97</v>
      </c>
    </row>
    <row r="70" spans="2:4">
      <c r="B70" s="4" t="s">
        <v>98</v>
      </c>
      <c r="C70" s="10">
        <v>0</v>
      </c>
      <c r="D70" s="8" t="s">
        <v>99</v>
      </c>
    </row>
    <row r="71" spans="2:4">
      <c r="B71" s="4" t="s">
        <v>100</v>
      </c>
      <c r="C71" s="10">
        <v>14</v>
      </c>
      <c r="D71" s="8"/>
    </row>
    <row r="72" spans="2:4">
      <c r="B72" s="4" t="s">
        <v>101</v>
      </c>
      <c r="C72" s="10">
        <v>0</v>
      </c>
      <c r="D72" s="8"/>
    </row>
    <row r="73" spans="2:4">
      <c r="B73" s="4" t="s">
        <v>102</v>
      </c>
      <c r="C73" s="10">
        <v>13</v>
      </c>
      <c r="D73" s="8" t="s">
        <v>103</v>
      </c>
    </row>
    <row r="75" spans="2:4">
      <c r="B75" s="3" t="s">
        <v>104</v>
      </c>
    </row>
    <row r="76" spans="2:4">
      <c r="B76" s="4" t="s">
        <v>105</v>
      </c>
      <c r="C76" s="11">
        <v>0.05</v>
      </c>
      <c r="D76" s="8" t="s">
        <v>106</v>
      </c>
    </row>
    <row r="77" spans="2:4">
      <c r="B77" s="4" t="s">
        <v>107</v>
      </c>
      <c r="C77" s="11">
        <v>0.045</v>
      </c>
      <c r="D77" s="8" t="s">
        <v>108</v>
      </c>
    </row>
    <row r="78" spans="2:4">
      <c r="B78" s="4" t="s">
        <v>109</v>
      </c>
      <c r="C78" s="11">
        <v>0.04</v>
      </c>
      <c r="D78" s="8"/>
    </row>
    <row r="79" spans="2:4">
      <c r="B79" s="4" t="s">
        <v>110</v>
      </c>
      <c r="C79" s="11">
        <v>0.035</v>
      </c>
      <c r="D79" s="8"/>
    </row>
    <row r="80" spans="2:4">
      <c r="B80" s="4" t="s">
        <v>111</v>
      </c>
      <c r="C80" s="11">
        <v>0.03</v>
      </c>
      <c r="D80" s="8" t="s">
        <v>112</v>
      </c>
    </row>
    <row r="81" spans="2:4">
      <c r="B81" s="4" t="s">
        <v>113</v>
      </c>
      <c r="C81" s="11">
        <v>0.025</v>
      </c>
      <c r="D81" s="8" t="s">
        <v>114</v>
      </c>
    </row>
    <row r="82" spans="2:4">
      <c r="B82" s="4" t="s">
        <v>115</v>
      </c>
      <c r="C82" s="11">
        <v>0.025</v>
      </c>
      <c r="D82" s="8" t="s">
        <v>116</v>
      </c>
    </row>
    <row r="83" spans="2:4">
      <c r="B83" s="4" t="s">
        <v>117</v>
      </c>
      <c r="C83" s="11">
        <v>0.005</v>
      </c>
      <c r="D83" s="8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Z23"/>
  <sheetViews>
    <sheetView workbookViewId="0"/>
  </sheetViews>
  <sheetFormatPr defaultRowHeight="15"/>
  <cols>
    <col min="1" max="1" width="2.7109375" customWidth="1"/>
    <col min="2" max="2" width="36.7109375" customWidth="1"/>
    <col min="3" max="26" width="12.7109375" customWidth="1"/>
  </cols>
  <sheetData>
    <row r="2" spans="2:26">
      <c r="B2" s="1" t="s">
        <v>119</v>
      </c>
    </row>
    <row r="3" spans="2:26">
      <c r="B3" s="2" t="s">
        <v>120</v>
      </c>
    </row>
    <row r="5" spans="2:26">
      <c r="B5" s="13" t="s">
        <v>121</v>
      </c>
      <c r="C5" s="14" t="s">
        <v>122</v>
      </c>
      <c r="D5" s="14" t="s">
        <v>123</v>
      </c>
      <c r="E5" s="14" t="s">
        <v>124</v>
      </c>
      <c r="F5" s="14" t="s">
        <v>125</v>
      </c>
      <c r="G5" s="14" t="s">
        <v>126</v>
      </c>
      <c r="H5" s="14" t="s">
        <v>127</v>
      </c>
      <c r="I5" s="14" t="s">
        <v>128</v>
      </c>
      <c r="J5" s="14" t="s">
        <v>129</v>
      </c>
      <c r="K5" s="14" t="s">
        <v>130</v>
      </c>
      <c r="L5" s="14" t="s">
        <v>131</v>
      </c>
      <c r="M5" s="14" t="s">
        <v>132</v>
      </c>
      <c r="N5" s="14" t="s">
        <v>133</v>
      </c>
      <c r="O5" s="14" t="s">
        <v>134</v>
      </c>
      <c r="P5" s="14" t="s">
        <v>135</v>
      </c>
      <c r="Q5" s="14" t="s">
        <v>136</v>
      </c>
      <c r="R5" s="14" t="s">
        <v>137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144</v>
      </c>
      <c r="Z5" s="14" t="s">
        <v>145</v>
      </c>
    </row>
    <row r="6" spans="2:26">
      <c r="B6" s="4" t="s">
        <v>146</v>
      </c>
      <c r="C6" s="15">
        <f>Допущения!$C$42</f>
        <v>0</v>
      </c>
      <c r="D6" s="15">
        <f>Допущения!$C$42</f>
        <v>0</v>
      </c>
      <c r="E6" s="15">
        <f>Допущения!$C$42</f>
        <v>0</v>
      </c>
      <c r="F6" s="15">
        <f>Допущения!$C$43</f>
        <v>0</v>
      </c>
      <c r="G6" s="15">
        <f>Допущения!$C$43</f>
        <v>0</v>
      </c>
      <c r="H6" s="15">
        <f>Допущения!$C$43</f>
        <v>0</v>
      </c>
      <c r="I6" s="15">
        <f>Допущения!$C$44</f>
        <v>0</v>
      </c>
      <c r="J6" s="15">
        <f>Допущения!$C$44</f>
        <v>0</v>
      </c>
      <c r="K6" s="15">
        <f>Допущения!$C$44</f>
        <v>0</v>
      </c>
      <c r="L6" s="15">
        <f>Допущения!$C$44</f>
        <v>0</v>
      </c>
      <c r="M6" s="15">
        <f>Допущения!$C$44</f>
        <v>0</v>
      </c>
      <c r="N6" s="15">
        <f>Допущения!$C$44</f>
        <v>0</v>
      </c>
      <c r="O6" s="15">
        <f>Допущения!$C$45</f>
        <v>0</v>
      </c>
      <c r="P6" s="15">
        <f>Допущения!$C$45</f>
        <v>0</v>
      </c>
      <c r="Q6" s="15">
        <f>Допущения!$C$45</f>
        <v>0</v>
      </c>
      <c r="R6" s="15">
        <f>Допущения!$C$45</f>
        <v>0</v>
      </c>
      <c r="S6" s="15">
        <f>Допущения!$C$45</f>
        <v>0</v>
      </c>
      <c r="T6" s="15">
        <f>Допущения!$C$45</f>
        <v>0</v>
      </c>
      <c r="U6" s="15">
        <f>Допущения!$C$46</f>
        <v>0</v>
      </c>
      <c r="V6" s="15">
        <f>Допущения!$C$46</f>
        <v>0</v>
      </c>
      <c r="W6" s="15">
        <f>Допущения!$C$46</f>
        <v>0</v>
      </c>
      <c r="X6" s="15">
        <f>Допущения!$C$46</f>
        <v>0</v>
      </c>
      <c r="Y6" s="15">
        <f>Допущения!$C$46</f>
        <v>0</v>
      </c>
      <c r="Z6" s="15">
        <f>Допущения!$C$46</f>
        <v>0</v>
      </c>
    </row>
    <row r="7" spans="2:26">
      <c r="B7" s="4" t="s">
        <v>147</v>
      </c>
      <c r="C7" s="16">
        <f>C6*(Допущения!$C$29*Допущения!$C$30*Допущения!$C$39)</f>
        <v>0</v>
      </c>
      <c r="D7" s="16">
        <f>D6*(Допущения!$C$29*Допущения!$C$30*Допущения!$C$39)</f>
        <v>0</v>
      </c>
      <c r="E7" s="16">
        <f>E6*(Допущения!$C$29*Допущения!$C$30*Допущения!$C$39)</f>
        <v>0</v>
      </c>
      <c r="F7" s="16">
        <f>F6*(Допущения!$C$29*Допущения!$C$30*Допущения!$C$39)</f>
        <v>0</v>
      </c>
      <c r="G7" s="16">
        <f>G6*(Допущения!$C$29*Допущения!$C$30*Допущения!$C$39)</f>
        <v>0</v>
      </c>
      <c r="H7" s="16">
        <f>H6*(Допущения!$C$29*Допущения!$C$30*Допущения!$C$39)</f>
        <v>0</v>
      </c>
      <c r="I7" s="16">
        <f>I6*(Допущения!$C$29*Допущения!$C$30*Допущения!$C$39)</f>
        <v>0</v>
      </c>
      <c r="J7" s="16">
        <f>J6*(Допущения!$C$29*Допущения!$C$30*Допущения!$C$39)</f>
        <v>0</v>
      </c>
      <c r="K7" s="16">
        <f>K6*(Допущения!$C$29*Допущения!$C$30*Допущения!$C$39)</f>
        <v>0</v>
      </c>
      <c r="L7" s="16">
        <f>L6*(Допущения!$C$29*Допущения!$C$30*Допущения!$C$39)</f>
        <v>0</v>
      </c>
      <c r="M7" s="16">
        <f>M6*(Допущения!$C$29*Допущения!$C$30*Допущения!$C$39)</f>
        <v>0</v>
      </c>
      <c r="N7" s="16">
        <f>N6*(Допущения!$C$29*Допущения!$C$30*Допущения!$C$39)</f>
        <v>0</v>
      </c>
      <c r="O7" s="16">
        <f>O6*(Допущения!$C$29*Допущения!$C$30*Допущения!$C$39)</f>
        <v>0</v>
      </c>
      <c r="P7" s="16">
        <f>P6*(Допущения!$C$29*Допущения!$C$30*Допущения!$C$39)</f>
        <v>0</v>
      </c>
      <c r="Q7" s="16">
        <f>Q6*(Допущения!$C$29*Допущения!$C$30*Допущения!$C$39)</f>
        <v>0</v>
      </c>
      <c r="R7" s="16">
        <f>R6*(Допущения!$C$29*Допущения!$C$30*Допущения!$C$39)</f>
        <v>0</v>
      </c>
      <c r="S7" s="16">
        <f>S6*(Допущения!$C$29*Допущения!$C$30*Допущения!$C$39)</f>
        <v>0</v>
      </c>
      <c r="T7" s="16">
        <f>T6*(Допущения!$C$29*Допущения!$C$30*Допущения!$C$39)</f>
        <v>0</v>
      </c>
      <c r="U7" s="16">
        <f>U6*(Допущения!$C$29*Допущения!$C$30*Допущения!$C$39)</f>
        <v>0</v>
      </c>
      <c r="V7" s="16">
        <f>V6*(Допущения!$C$29*Допущения!$C$30*Допущения!$C$39)</f>
        <v>0</v>
      </c>
      <c r="W7" s="16">
        <f>W6*(Допущения!$C$29*Допущения!$C$30*Допущения!$C$39)</f>
        <v>0</v>
      </c>
      <c r="X7" s="16">
        <f>X6*(Допущения!$C$29*Допущения!$C$30*Допущения!$C$39)</f>
        <v>0</v>
      </c>
      <c r="Y7" s="16">
        <f>Y6*(Допущения!$C$29*Допущения!$C$30*Допущения!$C$39)</f>
        <v>0</v>
      </c>
      <c r="Z7" s="16">
        <f>Z6*(Допущения!$C$29*Допущения!$C$30*Допущения!$C$39)</f>
        <v>0</v>
      </c>
    </row>
    <row r="8" spans="2:26">
      <c r="B8" s="4" t="s">
        <v>148</v>
      </c>
      <c r="C8" s="16">
        <f>C7*Допущения!$C$50</f>
        <v>0</v>
      </c>
      <c r="D8" s="16">
        <f>D7*Допущения!$C$50</f>
        <v>0</v>
      </c>
      <c r="E8" s="16">
        <f>E7*Допущения!$C$50</f>
        <v>0</v>
      </c>
      <c r="F8" s="16">
        <f>F7*Допущения!$C$50</f>
        <v>0</v>
      </c>
      <c r="G8" s="16">
        <f>G7*Допущения!$C$50</f>
        <v>0</v>
      </c>
      <c r="H8" s="16">
        <f>H7*Допущения!$C$50</f>
        <v>0</v>
      </c>
      <c r="I8" s="16">
        <f>I7*Допущения!$C$50</f>
        <v>0</v>
      </c>
      <c r="J8" s="16">
        <f>J7*Допущения!$C$50</f>
        <v>0</v>
      </c>
      <c r="K8" s="16">
        <f>K7*Допущения!$C$50</f>
        <v>0</v>
      </c>
      <c r="L8" s="16">
        <f>L7*Допущения!$C$50</f>
        <v>0</v>
      </c>
      <c r="M8" s="16">
        <f>M7*Допущения!$C$50</f>
        <v>0</v>
      </c>
      <c r="N8" s="16">
        <f>N7*Допущения!$C$50</f>
        <v>0</v>
      </c>
      <c r="O8" s="16">
        <f>O7*Допущения!$C$50</f>
        <v>0</v>
      </c>
      <c r="P8" s="16">
        <f>P7*Допущения!$C$50</f>
        <v>0</v>
      </c>
      <c r="Q8" s="16">
        <f>Q7*Допущения!$C$50</f>
        <v>0</v>
      </c>
      <c r="R8" s="16">
        <f>R7*Допущения!$C$50</f>
        <v>0</v>
      </c>
      <c r="S8" s="16">
        <f>S7*Допущения!$C$50</f>
        <v>0</v>
      </c>
      <c r="T8" s="16">
        <f>T7*Допущения!$C$50</f>
        <v>0</v>
      </c>
      <c r="U8" s="16">
        <f>U7*Допущения!$C$50</f>
        <v>0</v>
      </c>
      <c r="V8" s="16">
        <f>V7*Допущения!$C$50</f>
        <v>0</v>
      </c>
      <c r="W8" s="16">
        <f>W7*Допущения!$C$50</f>
        <v>0</v>
      </c>
      <c r="X8" s="16">
        <f>X7*Допущения!$C$50</f>
        <v>0</v>
      </c>
      <c r="Y8" s="16">
        <f>Y7*Допущения!$C$50</f>
        <v>0</v>
      </c>
      <c r="Z8" s="16">
        <f>Z7*Допущения!$C$50</f>
        <v>0</v>
      </c>
    </row>
    <row r="9" spans="2:26">
      <c r="B9" s="4" t="s">
        <v>149</v>
      </c>
      <c r="C9" s="6">
        <f>C7-C8</f>
        <v>0</v>
      </c>
      <c r="D9" s="6">
        <f>D7-D8</f>
        <v>0</v>
      </c>
      <c r="E9" s="6">
        <f>E7-E8</f>
        <v>0</v>
      </c>
      <c r="F9" s="6">
        <f>F7-F8</f>
        <v>0</v>
      </c>
      <c r="G9" s="6">
        <f>G7-G8</f>
        <v>0</v>
      </c>
      <c r="H9" s="6">
        <f>H7-H8</f>
        <v>0</v>
      </c>
      <c r="I9" s="6">
        <f>I7-I8</f>
        <v>0</v>
      </c>
      <c r="J9" s="6">
        <f>J7-J8</f>
        <v>0</v>
      </c>
      <c r="K9" s="6">
        <f>K7-K8</f>
        <v>0</v>
      </c>
      <c r="L9" s="6">
        <f>L7-L8</f>
        <v>0</v>
      </c>
      <c r="M9" s="6">
        <f>M7-M8</f>
        <v>0</v>
      </c>
      <c r="N9" s="6">
        <f>N7-N8</f>
        <v>0</v>
      </c>
      <c r="O9" s="6">
        <f>O7-O8</f>
        <v>0</v>
      </c>
      <c r="P9" s="6">
        <f>P7-P8</f>
        <v>0</v>
      </c>
      <c r="Q9" s="6">
        <f>Q7-Q8</f>
        <v>0</v>
      </c>
      <c r="R9" s="6">
        <f>R7-R8</f>
        <v>0</v>
      </c>
      <c r="S9" s="6">
        <f>S7-S8</f>
        <v>0</v>
      </c>
      <c r="T9" s="6">
        <f>T7-T8</f>
        <v>0</v>
      </c>
      <c r="U9" s="6">
        <f>U7-U8</f>
        <v>0</v>
      </c>
      <c r="V9" s="6">
        <f>V7-V8</f>
        <v>0</v>
      </c>
      <c r="W9" s="6">
        <f>W7-W8</f>
        <v>0</v>
      </c>
      <c r="X9" s="6">
        <f>X7-X8</f>
        <v>0</v>
      </c>
      <c r="Y9" s="6">
        <f>Y7-Y8</f>
        <v>0</v>
      </c>
      <c r="Z9" s="6">
        <f>Z7-Z8</f>
        <v>0</v>
      </c>
    </row>
    <row r="10" spans="2:26">
      <c r="B10" s="4" t="s">
        <v>150</v>
      </c>
      <c r="C10" s="16">
        <f>C7*Допущения!$C$51</f>
        <v>0</v>
      </c>
      <c r="D10" s="16">
        <f>D7*Допущения!$C$51</f>
        <v>0</v>
      </c>
      <c r="E10" s="16">
        <f>E7*Допущения!$C$51</f>
        <v>0</v>
      </c>
      <c r="F10" s="16">
        <f>F7*Допущения!$C$51</f>
        <v>0</v>
      </c>
      <c r="G10" s="16">
        <f>G7*Допущения!$C$51</f>
        <v>0</v>
      </c>
      <c r="H10" s="16">
        <f>H7*Допущения!$C$51</f>
        <v>0</v>
      </c>
      <c r="I10" s="16">
        <f>I7*Допущения!$C$51</f>
        <v>0</v>
      </c>
      <c r="J10" s="16">
        <f>J7*Допущения!$C$51</f>
        <v>0</v>
      </c>
      <c r="K10" s="16">
        <f>K7*Допущения!$C$51</f>
        <v>0</v>
      </c>
      <c r="L10" s="16">
        <f>L7*Допущения!$C$51</f>
        <v>0</v>
      </c>
      <c r="M10" s="16">
        <f>M7*Допущения!$C$51</f>
        <v>0</v>
      </c>
      <c r="N10" s="16">
        <f>N7*Допущения!$C$51</f>
        <v>0</v>
      </c>
      <c r="O10" s="16">
        <f>O7*Допущения!$C$51</f>
        <v>0</v>
      </c>
      <c r="P10" s="16">
        <f>P7*Допущения!$C$51</f>
        <v>0</v>
      </c>
      <c r="Q10" s="16">
        <f>Q7*Допущения!$C$51</f>
        <v>0</v>
      </c>
      <c r="R10" s="16">
        <f>R7*Допущения!$C$51</f>
        <v>0</v>
      </c>
      <c r="S10" s="16">
        <f>S7*Допущения!$C$51</f>
        <v>0</v>
      </c>
      <c r="T10" s="16">
        <f>T7*Допущения!$C$51</f>
        <v>0</v>
      </c>
      <c r="U10" s="16">
        <f>U7*Допущения!$C$51</f>
        <v>0</v>
      </c>
      <c r="V10" s="16">
        <f>V7*Допущения!$C$51</f>
        <v>0</v>
      </c>
      <c r="W10" s="16">
        <f>W7*Допущения!$C$51</f>
        <v>0</v>
      </c>
      <c r="X10" s="16">
        <f>X7*Допущения!$C$51</f>
        <v>0</v>
      </c>
      <c r="Y10" s="16">
        <f>Y7*Допущения!$C$51</f>
        <v>0</v>
      </c>
      <c r="Z10" s="16">
        <f>Z7*Допущения!$C$51</f>
        <v>0</v>
      </c>
    </row>
    <row r="11" spans="2:26">
      <c r="B11" s="4" t="s">
        <v>151</v>
      </c>
      <c r="C11" s="16">
        <f>C7*Допущения!$C$52</f>
        <v>0</v>
      </c>
      <c r="D11" s="16">
        <f>D7*Допущения!$C$52</f>
        <v>0</v>
      </c>
      <c r="E11" s="16">
        <f>E7*Допущения!$C$52</f>
        <v>0</v>
      </c>
      <c r="F11" s="16">
        <f>F7*Допущения!$C$52</f>
        <v>0</v>
      </c>
      <c r="G11" s="16">
        <f>G7*Допущения!$C$52</f>
        <v>0</v>
      </c>
      <c r="H11" s="16">
        <f>H7*Допущения!$C$52</f>
        <v>0</v>
      </c>
      <c r="I11" s="16">
        <f>I7*Допущения!$C$52</f>
        <v>0</v>
      </c>
      <c r="J11" s="16">
        <f>J7*Допущения!$C$52</f>
        <v>0</v>
      </c>
      <c r="K11" s="16">
        <f>K7*Допущения!$C$52</f>
        <v>0</v>
      </c>
      <c r="L11" s="16">
        <f>L7*Допущения!$C$52</f>
        <v>0</v>
      </c>
      <c r="M11" s="16">
        <f>M7*Допущения!$C$52</f>
        <v>0</v>
      </c>
      <c r="N11" s="16">
        <f>N7*Допущения!$C$52</f>
        <v>0</v>
      </c>
      <c r="O11" s="16">
        <f>O7*Допущения!$C$52</f>
        <v>0</v>
      </c>
      <c r="P11" s="16">
        <f>P7*Допущения!$C$52</f>
        <v>0</v>
      </c>
      <c r="Q11" s="16">
        <f>Q7*Допущения!$C$52</f>
        <v>0</v>
      </c>
      <c r="R11" s="16">
        <f>R7*Допущения!$C$52</f>
        <v>0</v>
      </c>
      <c r="S11" s="16">
        <f>S7*Допущения!$C$52</f>
        <v>0</v>
      </c>
      <c r="T11" s="16">
        <f>T7*Допущения!$C$52</f>
        <v>0</v>
      </c>
      <c r="U11" s="16">
        <f>U7*Допущения!$C$52</f>
        <v>0</v>
      </c>
      <c r="V11" s="16">
        <f>V7*Допущения!$C$52</f>
        <v>0</v>
      </c>
      <c r="W11" s="16">
        <f>W7*Допущения!$C$52</f>
        <v>0</v>
      </c>
      <c r="X11" s="16">
        <f>X7*Допущения!$C$52</f>
        <v>0</v>
      </c>
      <c r="Y11" s="16">
        <f>Y7*Допущения!$C$52</f>
        <v>0</v>
      </c>
      <c r="Z11" s="16">
        <f>Z7*Допущения!$C$52</f>
        <v>0</v>
      </c>
    </row>
    <row r="12" spans="2:26">
      <c r="B12" s="4" t="s">
        <v>152</v>
      </c>
      <c r="C12" s="16">
        <f>C7*Допущения!$C$53</f>
        <v>0</v>
      </c>
      <c r="D12" s="16">
        <f>D7*Допущения!$C$53</f>
        <v>0</v>
      </c>
      <c r="E12" s="16">
        <f>E7*Допущения!$C$53</f>
        <v>0</v>
      </c>
      <c r="F12" s="16">
        <f>F7*Допущения!$C$53</f>
        <v>0</v>
      </c>
      <c r="G12" s="16">
        <f>G7*Допущения!$C$53</f>
        <v>0</v>
      </c>
      <c r="H12" s="16">
        <f>H7*Допущения!$C$53</f>
        <v>0</v>
      </c>
      <c r="I12" s="16">
        <f>I7*Допущения!$C$53</f>
        <v>0</v>
      </c>
      <c r="J12" s="16">
        <f>J7*Допущения!$C$53</f>
        <v>0</v>
      </c>
      <c r="K12" s="16">
        <f>K7*Допущения!$C$53</f>
        <v>0</v>
      </c>
      <c r="L12" s="16">
        <f>L7*Допущения!$C$53</f>
        <v>0</v>
      </c>
      <c r="M12" s="16">
        <f>M7*Допущения!$C$53</f>
        <v>0</v>
      </c>
      <c r="N12" s="16">
        <f>N7*Допущения!$C$53</f>
        <v>0</v>
      </c>
      <c r="O12" s="16">
        <f>O7*Допущения!$C$53</f>
        <v>0</v>
      </c>
      <c r="P12" s="16">
        <f>P7*Допущения!$C$53</f>
        <v>0</v>
      </c>
      <c r="Q12" s="16">
        <f>Q7*Допущения!$C$53</f>
        <v>0</v>
      </c>
      <c r="R12" s="16">
        <f>R7*Допущения!$C$53</f>
        <v>0</v>
      </c>
      <c r="S12" s="16">
        <f>S7*Допущения!$C$53</f>
        <v>0</v>
      </c>
      <c r="T12" s="16">
        <f>T7*Допущения!$C$53</f>
        <v>0</v>
      </c>
      <c r="U12" s="16">
        <f>U7*Допущения!$C$53</f>
        <v>0</v>
      </c>
      <c r="V12" s="16">
        <f>V7*Допущения!$C$53</f>
        <v>0</v>
      </c>
      <c r="W12" s="16">
        <f>W7*Допущения!$C$53</f>
        <v>0</v>
      </c>
      <c r="X12" s="16">
        <f>X7*Допущения!$C$53</f>
        <v>0</v>
      </c>
      <c r="Y12" s="16">
        <f>Y7*Допущения!$C$53</f>
        <v>0</v>
      </c>
      <c r="Z12" s="16">
        <f>Z7*Допущения!$C$53</f>
        <v>0</v>
      </c>
    </row>
    <row r="13" spans="2:26">
      <c r="B13" s="4" t="s">
        <v>153</v>
      </c>
      <c r="C13" s="16">
        <f>C7*Допущения!$C$54</f>
        <v>0</v>
      </c>
      <c r="D13" s="16">
        <f>D7*Допущения!$C$54</f>
        <v>0</v>
      </c>
      <c r="E13" s="16">
        <f>E7*Допущения!$C$54</f>
        <v>0</v>
      </c>
      <c r="F13" s="16">
        <f>F7*Допущения!$C$54</f>
        <v>0</v>
      </c>
      <c r="G13" s="16">
        <f>G7*Допущения!$C$54</f>
        <v>0</v>
      </c>
      <c r="H13" s="16">
        <f>H7*Допущения!$C$54</f>
        <v>0</v>
      </c>
      <c r="I13" s="16">
        <f>I7*Допущения!$C$54</f>
        <v>0</v>
      </c>
      <c r="J13" s="16">
        <f>J7*Допущения!$C$54</f>
        <v>0</v>
      </c>
      <c r="K13" s="16">
        <f>K7*Допущения!$C$54</f>
        <v>0</v>
      </c>
      <c r="L13" s="16">
        <f>L7*Допущения!$C$54</f>
        <v>0</v>
      </c>
      <c r="M13" s="16">
        <f>M7*Допущения!$C$54</f>
        <v>0</v>
      </c>
      <c r="N13" s="16">
        <f>N7*Допущения!$C$54</f>
        <v>0</v>
      </c>
      <c r="O13" s="16">
        <f>O7*Допущения!$C$54</f>
        <v>0</v>
      </c>
      <c r="P13" s="16">
        <f>P7*Допущения!$C$54</f>
        <v>0</v>
      </c>
      <c r="Q13" s="16">
        <f>Q7*Допущения!$C$54</f>
        <v>0</v>
      </c>
      <c r="R13" s="16">
        <f>R7*Допущения!$C$54</f>
        <v>0</v>
      </c>
      <c r="S13" s="16">
        <f>S7*Допущения!$C$54</f>
        <v>0</v>
      </c>
      <c r="T13" s="16">
        <f>T7*Допущения!$C$54</f>
        <v>0</v>
      </c>
      <c r="U13" s="16">
        <f>U7*Допущения!$C$54</f>
        <v>0</v>
      </c>
      <c r="V13" s="16">
        <f>V7*Допущения!$C$54</f>
        <v>0</v>
      </c>
      <c r="W13" s="16">
        <f>W7*Допущения!$C$54</f>
        <v>0</v>
      </c>
      <c r="X13" s="16">
        <f>X7*Допущения!$C$54</f>
        <v>0</v>
      </c>
      <c r="Y13" s="16">
        <f>Y7*Допущения!$C$54</f>
        <v>0</v>
      </c>
      <c r="Z13" s="16">
        <f>Z7*Допущения!$C$54</f>
        <v>0</v>
      </c>
    </row>
    <row r="14" spans="2:26">
      <c r="B14" s="4" t="s">
        <v>154</v>
      </c>
      <c r="C14" s="6">
        <f>C9-C10-C11-C12-C13</f>
        <v>0</v>
      </c>
      <c r="D14" s="6">
        <f>D9-D10-D11-D12-D13</f>
        <v>0</v>
      </c>
      <c r="E14" s="6">
        <f>E9-E10-E11-E12-E13</f>
        <v>0</v>
      </c>
      <c r="F14" s="6">
        <f>F9-F10-F11-F12-F13</f>
        <v>0</v>
      </c>
      <c r="G14" s="6">
        <f>G9-G10-G11-G12-G13</f>
        <v>0</v>
      </c>
      <c r="H14" s="6">
        <f>H9-H10-H11-H12-H13</f>
        <v>0</v>
      </c>
      <c r="I14" s="6">
        <f>I9-I10-I11-I12-I13</f>
        <v>0</v>
      </c>
      <c r="J14" s="6">
        <f>J9-J10-J11-J12-J13</f>
        <v>0</v>
      </c>
      <c r="K14" s="6">
        <f>K9-K10-K11-K12-K13</f>
        <v>0</v>
      </c>
      <c r="L14" s="6">
        <f>L9-L10-L11-L12-L13</f>
        <v>0</v>
      </c>
      <c r="M14" s="6">
        <f>M9-M10-M11-M12-M13</f>
        <v>0</v>
      </c>
      <c r="N14" s="6">
        <f>N9-N10-N11-N12-N13</f>
        <v>0</v>
      </c>
      <c r="O14" s="6">
        <f>O9-O10-O11-O12-O13</f>
        <v>0</v>
      </c>
      <c r="P14" s="6">
        <f>P9-P10-P11-P12-P13</f>
        <v>0</v>
      </c>
      <c r="Q14" s="6">
        <f>Q9-Q10-Q11-Q12-Q13</f>
        <v>0</v>
      </c>
      <c r="R14" s="6">
        <f>R9-R10-R11-R12-R13</f>
        <v>0</v>
      </c>
      <c r="S14" s="6">
        <f>S9-S10-S11-S12-S13</f>
        <v>0</v>
      </c>
      <c r="T14" s="6">
        <f>T9-T10-T11-T12-T13</f>
        <v>0</v>
      </c>
      <c r="U14" s="6">
        <f>U9-U10-U11-U12-U13</f>
        <v>0</v>
      </c>
      <c r="V14" s="6">
        <f>V9-V10-V11-V12-V13</f>
        <v>0</v>
      </c>
      <c r="W14" s="6">
        <f>W9-W10-W11-W12-W13</f>
        <v>0</v>
      </c>
      <c r="X14" s="6">
        <f>X9-X10-X11-X12-X13</f>
        <v>0</v>
      </c>
      <c r="Y14" s="6">
        <f>Y9-Y10-Y11-Y12-Y13</f>
        <v>0</v>
      </c>
      <c r="Z14" s="6">
        <f>Z9-Z10-Z11-Z12-Z13</f>
        <v>0</v>
      </c>
    </row>
    <row r="15" spans="2:26">
      <c r="B15" s="4" t="s">
        <v>155</v>
      </c>
      <c r="C15" s="5">
        <f>IFERROR(C14/C7,0)</f>
        <v>0</v>
      </c>
      <c r="D15" s="5">
        <f>IFERROR(D14/D7,0)</f>
        <v>0</v>
      </c>
      <c r="E15" s="5">
        <f>IFERROR(E14/E7,0)</f>
        <v>0</v>
      </c>
      <c r="F15" s="5">
        <f>IFERROR(F14/F7,0)</f>
        <v>0</v>
      </c>
      <c r="G15" s="5">
        <f>IFERROR(G14/G7,0)</f>
        <v>0</v>
      </c>
      <c r="H15" s="5">
        <f>IFERROR(H14/H7,0)</f>
        <v>0</v>
      </c>
      <c r="I15" s="5">
        <f>IFERROR(I14/I7,0)</f>
        <v>0</v>
      </c>
      <c r="J15" s="5">
        <f>IFERROR(J14/J7,0)</f>
        <v>0</v>
      </c>
      <c r="K15" s="5">
        <f>IFERROR(K14/K7,0)</f>
        <v>0</v>
      </c>
      <c r="L15" s="5">
        <f>IFERROR(L14/L7,0)</f>
        <v>0</v>
      </c>
      <c r="M15" s="5">
        <f>IFERROR(M14/M7,0)</f>
        <v>0</v>
      </c>
      <c r="N15" s="5">
        <f>IFERROR(N14/N7,0)</f>
        <v>0</v>
      </c>
      <c r="O15" s="5">
        <f>IFERROR(O14/O7,0)</f>
        <v>0</v>
      </c>
      <c r="P15" s="5">
        <f>IFERROR(P14/P7,0)</f>
        <v>0</v>
      </c>
      <c r="Q15" s="5">
        <f>IFERROR(Q14/Q7,0)</f>
        <v>0</v>
      </c>
      <c r="R15" s="5">
        <f>IFERROR(R14/R7,0)</f>
        <v>0</v>
      </c>
      <c r="S15" s="5">
        <f>IFERROR(S14/S7,0)</f>
        <v>0</v>
      </c>
      <c r="T15" s="5">
        <f>IFERROR(T14/T7,0)</f>
        <v>0</v>
      </c>
      <c r="U15" s="5">
        <f>IFERROR(U14/U7,0)</f>
        <v>0</v>
      </c>
      <c r="V15" s="5">
        <f>IFERROR(V14/V7,0)</f>
        <v>0</v>
      </c>
      <c r="W15" s="5">
        <f>IFERROR(W14/W7,0)</f>
        <v>0</v>
      </c>
      <c r="X15" s="5">
        <f>IFERROR(X14/X7,0)</f>
        <v>0</v>
      </c>
      <c r="Y15" s="5">
        <f>IFERROR(Y14/Y7,0)</f>
        <v>0</v>
      </c>
      <c r="Z15" s="5">
        <f>IFERROR(Z14/Z7,0)</f>
        <v>0</v>
      </c>
    </row>
    <row r="16" spans="2:26">
      <c r="B16" s="4" t="s">
        <v>156</v>
      </c>
      <c r="C16" s="17">
        <f>-Допущения!$C$27+C14</f>
        <v>0</v>
      </c>
      <c r="D16" s="17">
        <f>C16+D14</f>
        <v>0</v>
      </c>
      <c r="E16" s="17">
        <f>D16+E14</f>
        <v>0</v>
      </c>
      <c r="F16" s="17">
        <f>E16+F14</f>
        <v>0</v>
      </c>
      <c r="G16" s="17">
        <f>F16+G14</f>
        <v>0</v>
      </c>
      <c r="H16" s="17">
        <f>G16+H14</f>
        <v>0</v>
      </c>
      <c r="I16" s="17">
        <f>H16+I14</f>
        <v>0</v>
      </c>
      <c r="J16" s="17">
        <f>I16+J14</f>
        <v>0</v>
      </c>
      <c r="K16" s="17">
        <f>J16+K14</f>
        <v>0</v>
      </c>
      <c r="L16" s="17">
        <f>K16+L14</f>
        <v>0</v>
      </c>
      <c r="M16" s="17">
        <f>L16+M14</f>
        <v>0</v>
      </c>
      <c r="N16" s="17">
        <f>M16+N14</f>
        <v>0</v>
      </c>
      <c r="O16" s="17">
        <f>N16+O14</f>
        <v>0</v>
      </c>
      <c r="P16" s="17">
        <f>O16+P14</f>
        <v>0</v>
      </c>
      <c r="Q16" s="17">
        <f>P16+Q14</f>
        <v>0</v>
      </c>
      <c r="R16" s="17">
        <f>Q16+R14</f>
        <v>0</v>
      </c>
      <c r="S16" s="17">
        <f>R16+S14</f>
        <v>0</v>
      </c>
      <c r="T16" s="17">
        <f>S16+T14</f>
        <v>0</v>
      </c>
      <c r="U16" s="17">
        <f>T16+U14</f>
        <v>0</v>
      </c>
      <c r="V16" s="17">
        <f>U16+V14</f>
        <v>0</v>
      </c>
      <c r="W16" s="17">
        <f>V16+W14</f>
        <v>0</v>
      </c>
      <c r="X16" s="17">
        <f>W16+X14</f>
        <v>0</v>
      </c>
      <c r="Y16" s="17">
        <f>X16+Y14</f>
        <v>0</v>
      </c>
      <c r="Z16" s="17">
        <f>Y16+Z14</f>
        <v>0</v>
      </c>
    </row>
    <row r="18" spans="2:5">
      <c r="B18" s="3" t="s">
        <v>157</v>
      </c>
      <c r="C18" s="14" t="s">
        <v>147</v>
      </c>
      <c r="D18" s="14" t="s">
        <v>158</v>
      </c>
      <c r="E18" s="14" t="s">
        <v>155</v>
      </c>
    </row>
    <row r="19" spans="2:5">
      <c r="B19" s="4" t="s">
        <v>159</v>
      </c>
      <c r="C19" s="6">
        <f>SUM(C7:N7)</f>
        <v>0</v>
      </c>
      <c r="D19" s="6">
        <f>SUM(C14:N14)</f>
        <v>0</v>
      </c>
      <c r="E19" s="5">
        <f>IFERROR(D19/C19,0)</f>
        <v>0</v>
      </c>
    </row>
    <row r="20" spans="2:5">
      <c r="B20" s="4" t="s">
        <v>160</v>
      </c>
      <c r="C20" s="6">
        <f>SUM(O7:Z7)</f>
        <v>0</v>
      </c>
      <c r="D20" s="6">
        <f>SUM(O14:Z14)</f>
        <v>0</v>
      </c>
      <c r="E20" s="5">
        <f>IFERROR(D20/C20,0)</f>
        <v>0</v>
      </c>
    </row>
    <row r="21" spans="2:5">
      <c r="B21" s="4" t="s">
        <v>161</v>
      </c>
      <c r="C21" s="6">
        <f>(Допущения!$C$29*Допущения!$C$30*Допущения!$C$39)*12*(1+Допущения!$C$47)</f>
        <v>0</v>
      </c>
      <c r="D21" s="6">
        <f>C21*(1-Допущения!$C$50-Допущения!$C$51-Допущения!$C$52-Допущения!$C$53-Допущения!$C$54)</f>
        <v>0</v>
      </c>
      <c r="E21" s="5">
        <f>IFERROR(D21/C21,0)</f>
        <v>0</v>
      </c>
    </row>
    <row r="23" spans="2:5">
      <c r="B23" s="4" t="s">
        <v>162</v>
      </c>
      <c r="C23" s="7">
        <f>IFERROR(MATCH(0,C16:Z16,1)+1,"-")</f>
        <v>0</v>
      </c>
      <c r="D23" s="8" t="s">
        <v>163</v>
      </c>
    </row>
  </sheetData>
  <conditionalFormatting sqref="C16:Z16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Z23"/>
  <sheetViews>
    <sheetView workbookViewId="0"/>
  </sheetViews>
  <sheetFormatPr defaultRowHeight="15"/>
  <cols>
    <col min="1" max="1" width="2.7109375" customWidth="1"/>
    <col min="2" max="2" width="36.7109375" customWidth="1"/>
    <col min="3" max="26" width="12.7109375" customWidth="1"/>
  </cols>
  <sheetData>
    <row r="2" spans="2:26">
      <c r="B2" s="1" t="s">
        <v>164</v>
      </c>
    </row>
    <row r="3" spans="2:26">
      <c r="B3" s="2" t="s">
        <v>165</v>
      </c>
    </row>
    <row r="5" spans="2:26">
      <c r="B5" s="13" t="s">
        <v>121</v>
      </c>
      <c r="C5" s="14" t="s">
        <v>122</v>
      </c>
      <c r="D5" s="14" t="s">
        <v>123</v>
      </c>
      <c r="E5" s="14" t="s">
        <v>124</v>
      </c>
      <c r="F5" s="14" t="s">
        <v>125</v>
      </c>
      <c r="G5" s="14" t="s">
        <v>126</v>
      </c>
      <c r="H5" s="14" t="s">
        <v>127</v>
      </c>
      <c r="I5" s="14" t="s">
        <v>128</v>
      </c>
      <c r="J5" s="14" t="s">
        <v>129</v>
      </c>
      <c r="K5" s="14" t="s">
        <v>130</v>
      </c>
      <c r="L5" s="14" t="s">
        <v>131</v>
      </c>
      <c r="M5" s="14" t="s">
        <v>132</v>
      </c>
      <c r="N5" s="14" t="s">
        <v>133</v>
      </c>
      <c r="O5" s="14" t="s">
        <v>134</v>
      </c>
      <c r="P5" s="14" t="s">
        <v>135</v>
      </c>
      <c r="Q5" s="14" t="s">
        <v>136</v>
      </c>
      <c r="R5" s="14" t="s">
        <v>137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144</v>
      </c>
      <c r="Z5" s="14" t="s">
        <v>145</v>
      </c>
    </row>
    <row r="6" spans="2:26">
      <c r="B6" s="4" t="s">
        <v>146</v>
      </c>
      <c r="C6" s="15">
        <f>Допущения!$C$42</f>
        <v>0</v>
      </c>
      <c r="D6" s="15">
        <f>Допущения!$C$42</f>
        <v>0</v>
      </c>
      <c r="E6" s="15">
        <f>Допущения!$C$42</f>
        <v>0</v>
      </c>
      <c r="F6" s="15">
        <f>Допущения!$C$43</f>
        <v>0</v>
      </c>
      <c r="G6" s="15">
        <f>Допущения!$C$43</f>
        <v>0</v>
      </c>
      <c r="H6" s="15">
        <f>Допущения!$C$43</f>
        <v>0</v>
      </c>
      <c r="I6" s="15">
        <f>Допущения!$C$44</f>
        <v>0</v>
      </c>
      <c r="J6" s="15">
        <f>Допущения!$C$44</f>
        <v>0</v>
      </c>
      <c r="K6" s="15">
        <f>Допущения!$C$44</f>
        <v>0</v>
      </c>
      <c r="L6" s="15">
        <f>Допущения!$C$44</f>
        <v>0</v>
      </c>
      <c r="M6" s="15">
        <f>Допущения!$C$44</f>
        <v>0</v>
      </c>
      <c r="N6" s="15">
        <f>Допущения!$C$44</f>
        <v>0</v>
      </c>
      <c r="O6" s="15">
        <f>Допущения!$C$45</f>
        <v>0</v>
      </c>
      <c r="P6" s="15">
        <f>Допущения!$C$45</f>
        <v>0</v>
      </c>
      <c r="Q6" s="15">
        <f>Допущения!$C$45</f>
        <v>0</v>
      </c>
      <c r="R6" s="15">
        <f>Допущения!$C$45</f>
        <v>0</v>
      </c>
      <c r="S6" s="15">
        <f>Допущения!$C$45</f>
        <v>0</v>
      </c>
      <c r="T6" s="15">
        <f>Допущения!$C$45</f>
        <v>0</v>
      </c>
      <c r="U6" s="15">
        <f>Допущения!$C$46</f>
        <v>0</v>
      </c>
      <c r="V6" s="15">
        <f>Допущения!$C$46</f>
        <v>0</v>
      </c>
      <c r="W6" s="15">
        <f>Допущения!$C$46</f>
        <v>0</v>
      </c>
      <c r="X6" s="15">
        <f>Допущения!$C$46</f>
        <v>0</v>
      </c>
      <c r="Y6" s="15">
        <f>Допущения!$C$46</f>
        <v>0</v>
      </c>
      <c r="Z6" s="15">
        <f>Допущения!$C$46</f>
        <v>0</v>
      </c>
    </row>
    <row r="7" spans="2:26">
      <c r="B7" s="4" t="s">
        <v>147</v>
      </c>
      <c r="C7" s="16">
        <f>C6*(Допущения!$C$36*Допущения!$C$37*Допущения!$C$39)</f>
        <v>0</v>
      </c>
      <c r="D7" s="16">
        <f>D6*(Допущения!$C$36*Допущения!$C$37*Допущения!$C$39)</f>
        <v>0</v>
      </c>
      <c r="E7" s="16">
        <f>E6*(Допущения!$C$36*Допущения!$C$37*Допущения!$C$39)</f>
        <v>0</v>
      </c>
      <c r="F7" s="16">
        <f>F6*(Допущения!$C$36*Допущения!$C$37*Допущения!$C$39)</f>
        <v>0</v>
      </c>
      <c r="G7" s="16">
        <f>G6*(Допущения!$C$36*Допущения!$C$37*Допущения!$C$39)</f>
        <v>0</v>
      </c>
      <c r="H7" s="16">
        <f>H6*(Допущения!$C$36*Допущения!$C$37*Допущения!$C$39)</f>
        <v>0</v>
      </c>
      <c r="I7" s="16">
        <f>I6*(Допущения!$C$36*Допущения!$C$37*Допущения!$C$39)</f>
        <v>0</v>
      </c>
      <c r="J7" s="16">
        <f>J6*(Допущения!$C$36*Допущения!$C$37*Допущения!$C$39)</f>
        <v>0</v>
      </c>
      <c r="K7" s="16">
        <f>K6*(Допущения!$C$36*Допущения!$C$37*Допущения!$C$39)</f>
        <v>0</v>
      </c>
      <c r="L7" s="16">
        <f>L6*(Допущения!$C$36*Допущения!$C$37*Допущения!$C$39)</f>
        <v>0</v>
      </c>
      <c r="M7" s="16">
        <f>M6*(Допущения!$C$36*Допущения!$C$37*Допущения!$C$39)</f>
        <v>0</v>
      </c>
      <c r="N7" s="16">
        <f>N6*(Допущения!$C$36*Допущения!$C$37*Допущения!$C$39)</f>
        <v>0</v>
      </c>
      <c r="O7" s="16">
        <f>O6*(Допущения!$C$36*Допущения!$C$37*Допущения!$C$39)</f>
        <v>0</v>
      </c>
      <c r="P7" s="16">
        <f>P6*(Допущения!$C$36*Допущения!$C$37*Допущения!$C$39)</f>
        <v>0</v>
      </c>
      <c r="Q7" s="16">
        <f>Q6*(Допущения!$C$36*Допущения!$C$37*Допущения!$C$39)</f>
        <v>0</v>
      </c>
      <c r="R7" s="16">
        <f>R6*(Допущения!$C$36*Допущения!$C$37*Допущения!$C$39)</f>
        <v>0</v>
      </c>
      <c r="S7" s="16">
        <f>S6*(Допущения!$C$36*Допущения!$C$37*Допущения!$C$39)</f>
        <v>0</v>
      </c>
      <c r="T7" s="16">
        <f>T6*(Допущения!$C$36*Допущения!$C$37*Допущения!$C$39)</f>
        <v>0</v>
      </c>
      <c r="U7" s="16">
        <f>U6*(Допущения!$C$36*Допущения!$C$37*Допущения!$C$39)</f>
        <v>0</v>
      </c>
      <c r="V7" s="16">
        <f>V6*(Допущения!$C$36*Допущения!$C$37*Допущения!$C$39)</f>
        <v>0</v>
      </c>
      <c r="W7" s="16">
        <f>W6*(Допущения!$C$36*Допущения!$C$37*Допущения!$C$39)</f>
        <v>0</v>
      </c>
      <c r="X7" s="16">
        <f>X6*(Допущения!$C$36*Допущения!$C$37*Допущения!$C$39)</f>
        <v>0</v>
      </c>
      <c r="Y7" s="16">
        <f>Y6*(Допущения!$C$36*Допущения!$C$37*Допущения!$C$39)</f>
        <v>0</v>
      </c>
      <c r="Z7" s="16">
        <f>Z6*(Допущения!$C$36*Допущения!$C$37*Допущения!$C$39)</f>
        <v>0</v>
      </c>
    </row>
    <row r="8" spans="2:26">
      <c r="B8" s="4" t="s">
        <v>148</v>
      </c>
      <c r="C8" s="16">
        <f>C7*Допущения!$C$57</f>
        <v>0</v>
      </c>
      <c r="D8" s="16">
        <f>D7*Допущения!$C$57</f>
        <v>0</v>
      </c>
      <c r="E8" s="16">
        <f>E7*Допущения!$C$57</f>
        <v>0</v>
      </c>
      <c r="F8" s="16">
        <f>F7*Допущения!$C$57</f>
        <v>0</v>
      </c>
      <c r="G8" s="16">
        <f>G7*Допущения!$C$57</f>
        <v>0</v>
      </c>
      <c r="H8" s="16">
        <f>H7*Допущения!$C$57</f>
        <v>0</v>
      </c>
      <c r="I8" s="16">
        <f>I7*Допущения!$C$57</f>
        <v>0</v>
      </c>
      <c r="J8" s="16">
        <f>J7*Допущения!$C$57</f>
        <v>0</v>
      </c>
      <c r="K8" s="16">
        <f>K7*Допущения!$C$57</f>
        <v>0</v>
      </c>
      <c r="L8" s="16">
        <f>L7*Допущения!$C$57</f>
        <v>0</v>
      </c>
      <c r="M8" s="16">
        <f>M7*Допущения!$C$57</f>
        <v>0</v>
      </c>
      <c r="N8" s="16">
        <f>N7*Допущения!$C$57</f>
        <v>0</v>
      </c>
      <c r="O8" s="16">
        <f>O7*Допущения!$C$57</f>
        <v>0</v>
      </c>
      <c r="P8" s="16">
        <f>P7*Допущения!$C$57</f>
        <v>0</v>
      </c>
      <c r="Q8" s="16">
        <f>Q7*Допущения!$C$57</f>
        <v>0</v>
      </c>
      <c r="R8" s="16">
        <f>R7*Допущения!$C$57</f>
        <v>0</v>
      </c>
      <c r="S8" s="16">
        <f>S7*Допущения!$C$57</f>
        <v>0</v>
      </c>
      <c r="T8" s="16">
        <f>T7*Допущения!$C$57</f>
        <v>0</v>
      </c>
      <c r="U8" s="16">
        <f>U7*Допущения!$C$57</f>
        <v>0</v>
      </c>
      <c r="V8" s="16">
        <f>V7*Допущения!$C$57</f>
        <v>0</v>
      </c>
      <c r="W8" s="16">
        <f>W7*Допущения!$C$57</f>
        <v>0</v>
      </c>
      <c r="X8" s="16">
        <f>X7*Допущения!$C$57</f>
        <v>0</v>
      </c>
      <c r="Y8" s="16">
        <f>Y7*Допущения!$C$57</f>
        <v>0</v>
      </c>
      <c r="Z8" s="16">
        <f>Z7*Допущения!$C$57</f>
        <v>0</v>
      </c>
    </row>
    <row r="9" spans="2:26">
      <c r="B9" s="4" t="s">
        <v>149</v>
      </c>
      <c r="C9" s="6">
        <f>C7-C8</f>
        <v>0</v>
      </c>
      <c r="D9" s="6">
        <f>D7-D8</f>
        <v>0</v>
      </c>
      <c r="E9" s="6">
        <f>E7-E8</f>
        <v>0</v>
      </c>
      <c r="F9" s="6">
        <f>F7-F8</f>
        <v>0</v>
      </c>
      <c r="G9" s="6">
        <f>G7-G8</f>
        <v>0</v>
      </c>
      <c r="H9" s="6">
        <f>H7-H8</f>
        <v>0</v>
      </c>
      <c r="I9" s="6">
        <f>I7-I8</f>
        <v>0</v>
      </c>
      <c r="J9" s="6">
        <f>J7-J8</f>
        <v>0</v>
      </c>
      <c r="K9" s="6">
        <f>K7-K8</f>
        <v>0</v>
      </c>
      <c r="L9" s="6">
        <f>L7-L8</f>
        <v>0</v>
      </c>
      <c r="M9" s="6">
        <f>M7-M8</f>
        <v>0</v>
      </c>
      <c r="N9" s="6">
        <f>N7-N8</f>
        <v>0</v>
      </c>
      <c r="O9" s="6">
        <f>O7-O8</f>
        <v>0</v>
      </c>
      <c r="P9" s="6">
        <f>P7-P8</f>
        <v>0</v>
      </c>
      <c r="Q9" s="6">
        <f>Q7-Q8</f>
        <v>0</v>
      </c>
      <c r="R9" s="6">
        <f>R7-R8</f>
        <v>0</v>
      </c>
      <c r="S9" s="6">
        <f>S7-S8</f>
        <v>0</v>
      </c>
      <c r="T9" s="6">
        <f>T7-T8</f>
        <v>0</v>
      </c>
      <c r="U9" s="6">
        <f>U7-U8</f>
        <v>0</v>
      </c>
      <c r="V9" s="6">
        <f>V7-V8</f>
        <v>0</v>
      </c>
      <c r="W9" s="6">
        <f>W7-W8</f>
        <v>0</v>
      </c>
      <c r="X9" s="6">
        <f>X7-X8</f>
        <v>0</v>
      </c>
      <c r="Y9" s="6">
        <f>Y7-Y8</f>
        <v>0</v>
      </c>
      <c r="Z9" s="6">
        <f>Z7-Z8</f>
        <v>0</v>
      </c>
    </row>
    <row r="10" spans="2:26">
      <c r="B10" s="4" t="s">
        <v>150</v>
      </c>
      <c r="C10" s="16">
        <f>C7*Допущения!$C$58</f>
        <v>0</v>
      </c>
      <c r="D10" s="16">
        <f>D7*Допущения!$C$58</f>
        <v>0</v>
      </c>
      <c r="E10" s="16">
        <f>E7*Допущения!$C$58</f>
        <v>0</v>
      </c>
      <c r="F10" s="16">
        <f>F7*Допущения!$C$58</f>
        <v>0</v>
      </c>
      <c r="G10" s="16">
        <f>G7*Допущения!$C$58</f>
        <v>0</v>
      </c>
      <c r="H10" s="16">
        <f>H7*Допущения!$C$58</f>
        <v>0</v>
      </c>
      <c r="I10" s="16">
        <f>I7*Допущения!$C$58</f>
        <v>0</v>
      </c>
      <c r="J10" s="16">
        <f>J7*Допущения!$C$58</f>
        <v>0</v>
      </c>
      <c r="K10" s="16">
        <f>K7*Допущения!$C$58</f>
        <v>0</v>
      </c>
      <c r="L10" s="16">
        <f>L7*Допущения!$C$58</f>
        <v>0</v>
      </c>
      <c r="M10" s="16">
        <f>M7*Допущения!$C$58</f>
        <v>0</v>
      </c>
      <c r="N10" s="16">
        <f>N7*Допущения!$C$58</f>
        <v>0</v>
      </c>
      <c r="O10" s="16">
        <f>O7*Допущения!$C$58</f>
        <v>0</v>
      </c>
      <c r="P10" s="16">
        <f>P7*Допущения!$C$58</f>
        <v>0</v>
      </c>
      <c r="Q10" s="16">
        <f>Q7*Допущения!$C$58</f>
        <v>0</v>
      </c>
      <c r="R10" s="16">
        <f>R7*Допущения!$C$58</f>
        <v>0</v>
      </c>
      <c r="S10" s="16">
        <f>S7*Допущения!$C$58</f>
        <v>0</v>
      </c>
      <c r="T10" s="16">
        <f>T7*Допущения!$C$58</f>
        <v>0</v>
      </c>
      <c r="U10" s="16">
        <f>U7*Допущения!$C$58</f>
        <v>0</v>
      </c>
      <c r="V10" s="16">
        <f>V7*Допущения!$C$58</f>
        <v>0</v>
      </c>
      <c r="W10" s="16">
        <f>W7*Допущения!$C$58</f>
        <v>0</v>
      </c>
      <c r="X10" s="16">
        <f>X7*Допущения!$C$58</f>
        <v>0</v>
      </c>
      <c r="Y10" s="16">
        <f>Y7*Допущения!$C$58</f>
        <v>0</v>
      </c>
      <c r="Z10" s="16">
        <f>Z7*Допущения!$C$58</f>
        <v>0</v>
      </c>
    </row>
    <row r="11" spans="2:26">
      <c r="B11" s="4" t="s">
        <v>151</v>
      </c>
      <c r="C11" s="16">
        <f>C7*Допущения!$C$59</f>
        <v>0</v>
      </c>
      <c r="D11" s="16">
        <f>D7*Допущения!$C$59</f>
        <v>0</v>
      </c>
      <c r="E11" s="16">
        <f>E7*Допущения!$C$59</f>
        <v>0</v>
      </c>
      <c r="F11" s="16">
        <f>F7*Допущения!$C$59</f>
        <v>0</v>
      </c>
      <c r="G11" s="16">
        <f>G7*Допущения!$C$59</f>
        <v>0</v>
      </c>
      <c r="H11" s="16">
        <f>H7*Допущения!$C$59</f>
        <v>0</v>
      </c>
      <c r="I11" s="16">
        <f>I7*Допущения!$C$59</f>
        <v>0</v>
      </c>
      <c r="J11" s="16">
        <f>J7*Допущения!$C$59</f>
        <v>0</v>
      </c>
      <c r="K11" s="16">
        <f>K7*Допущения!$C$59</f>
        <v>0</v>
      </c>
      <c r="L11" s="16">
        <f>L7*Допущения!$C$59</f>
        <v>0</v>
      </c>
      <c r="M11" s="16">
        <f>M7*Допущения!$C$59</f>
        <v>0</v>
      </c>
      <c r="N11" s="16">
        <f>N7*Допущения!$C$59</f>
        <v>0</v>
      </c>
      <c r="O11" s="16">
        <f>O7*Допущения!$C$59</f>
        <v>0</v>
      </c>
      <c r="P11" s="16">
        <f>P7*Допущения!$C$59</f>
        <v>0</v>
      </c>
      <c r="Q11" s="16">
        <f>Q7*Допущения!$C$59</f>
        <v>0</v>
      </c>
      <c r="R11" s="16">
        <f>R7*Допущения!$C$59</f>
        <v>0</v>
      </c>
      <c r="S11" s="16">
        <f>S7*Допущения!$C$59</f>
        <v>0</v>
      </c>
      <c r="T11" s="16">
        <f>T7*Допущения!$C$59</f>
        <v>0</v>
      </c>
      <c r="U11" s="16">
        <f>U7*Допущения!$C$59</f>
        <v>0</v>
      </c>
      <c r="V11" s="16">
        <f>V7*Допущения!$C$59</f>
        <v>0</v>
      </c>
      <c r="W11" s="16">
        <f>W7*Допущения!$C$59</f>
        <v>0</v>
      </c>
      <c r="X11" s="16">
        <f>X7*Допущения!$C$59</f>
        <v>0</v>
      </c>
      <c r="Y11" s="16">
        <f>Y7*Допущения!$C$59</f>
        <v>0</v>
      </c>
      <c r="Z11" s="16">
        <f>Z7*Допущения!$C$59</f>
        <v>0</v>
      </c>
    </row>
    <row r="12" spans="2:26">
      <c r="B12" s="4" t="s">
        <v>152</v>
      </c>
      <c r="C12" s="16">
        <f>C7*Допущения!$C$60</f>
        <v>0</v>
      </c>
      <c r="D12" s="16">
        <f>D7*Допущения!$C$60</f>
        <v>0</v>
      </c>
      <c r="E12" s="16">
        <f>E7*Допущения!$C$60</f>
        <v>0</v>
      </c>
      <c r="F12" s="16">
        <f>F7*Допущения!$C$60</f>
        <v>0</v>
      </c>
      <c r="G12" s="16">
        <f>G7*Допущения!$C$60</f>
        <v>0</v>
      </c>
      <c r="H12" s="16">
        <f>H7*Допущения!$C$60</f>
        <v>0</v>
      </c>
      <c r="I12" s="16">
        <f>I7*Допущения!$C$60</f>
        <v>0</v>
      </c>
      <c r="J12" s="16">
        <f>J7*Допущения!$C$60</f>
        <v>0</v>
      </c>
      <c r="K12" s="16">
        <f>K7*Допущения!$C$60</f>
        <v>0</v>
      </c>
      <c r="L12" s="16">
        <f>L7*Допущения!$C$60</f>
        <v>0</v>
      </c>
      <c r="M12" s="16">
        <f>M7*Допущения!$C$60</f>
        <v>0</v>
      </c>
      <c r="N12" s="16">
        <f>N7*Допущения!$C$60</f>
        <v>0</v>
      </c>
      <c r="O12" s="16">
        <f>O7*Допущения!$C$60</f>
        <v>0</v>
      </c>
      <c r="P12" s="16">
        <f>P7*Допущения!$C$60</f>
        <v>0</v>
      </c>
      <c r="Q12" s="16">
        <f>Q7*Допущения!$C$60</f>
        <v>0</v>
      </c>
      <c r="R12" s="16">
        <f>R7*Допущения!$C$60</f>
        <v>0</v>
      </c>
      <c r="S12" s="16">
        <f>S7*Допущения!$C$60</f>
        <v>0</v>
      </c>
      <c r="T12" s="16">
        <f>T7*Допущения!$C$60</f>
        <v>0</v>
      </c>
      <c r="U12" s="16">
        <f>U7*Допущения!$C$60</f>
        <v>0</v>
      </c>
      <c r="V12" s="16">
        <f>V7*Допущения!$C$60</f>
        <v>0</v>
      </c>
      <c r="W12" s="16">
        <f>W7*Допущения!$C$60</f>
        <v>0</v>
      </c>
      <c r="X12" s="16">
        <f>X7*Допущения!$C$60</f>
        <v>0</v>
      </c>
      <c r="Y12" s="16">
        <f>Y7*Допущения!$C$60</f>
        <v>0</v>
      </c>
      <c r="Z12" s="16">
        <f>Z7*Допущения!$C$60</f>
        <v>0</v>
      </c>
    </row>
    <row r="13" spans="2:26">
      <c r="B13" s="4" t="s">
        <v>153</v>
      </c>
      <c r="C13" s="16">
        <f>C7*Допущения!$C$61</f>
        <v>0</v>
      </c>
      <c r="D13" s="16">
        <f>D7*Допущения!$C$61</f>
        <v>0</v>
      </c>
      <c r="E13" s="16">
        <f>E7*Допущения!$C$61</f>
        <v>0</v>
      </c>
      <c r="F13" s="16">
        <f>F7*Допущения!$C$61</f>
        <v>0</v>
      </c>
      <c r="G13" s="16">
        <f>G7*Допущения!$C$61</f>
        <v>0</v>
      </c>
      <c r="H13" s="16">
        <f>H7*Допущения!$C$61</f>
        <v>0</v>
      </c>
      <c r="I13" s="16">
        <f>I7*Допущения!$C$61</f>
        <v>0</v>
      </c>
      <c r="J13" s="16">
        <f>J7*Допущения!$C$61</f>
        <v>0</v>
      </c>
      <c r="K13" s="16">
        <f>K7*Допущения!$C$61</f>
        <v>0</v>
      </c>
      <c r="L13" s="16">
        <f>L7*Допущения!$C$61</f>
        <v>0</v>
      </c>
      <c r="M13" s="16">
        <f>M7*Допущения!$C$61</f>
        <v>0</v>
      </c>
      <c r="N13" s="16">
        <f>N7*Допущения!$C$61</f>
        <v>0</v>
      </c>
      <c r="O13" s="16">
        <f>O7*Допущения!$C$61</f>
        <v>0</v>
      </c>
      <c r="P13" s="16">
        <f>P7*Допущения!$C$61</f>
        <v>0</v>
      </c>
      <c r="Q13" s="16">
        <f>Q7*Допущения!$C$61</f>
        <v>0</v>
      </c>
      <c r="R13" s="16">
        <f>R7*Допущения!$C$61</f>
        <v>0</v>
      </c>
      <c r="S13" s="16">
        <f>S7*Допущения!$C$61</f>
        <v>0</v>
      </c>
      <c r="T13" s="16">
        <f>T7*Допущения!$C$61</f>
        <v>0</v>
      </c>
      <c r="U13" s="16">
        <f>U7*Допущения!$C$61</f>
        <v>0</v>
      </c>
      <c r="V13" s="16">
        <f>V7*Допущения!$C$61</f>
        <v>0</v>
      </c>
      <c r="W13" s="16">
        <f>W7*Допущения!$C$61</f>
        <v>0</v>
      </c>
      <c r="X13" s="16">
        <f>X7*Допущения!$C$61</f>
        <v>0</v>
      </c>
      <c r="Y13" s="16">
        <f>Y7*Допущения!$C$61</f>
        <v>0</v>
      </c>
      <c r="Z13" s="16">
        <f>Z7*Допущения!$C$61</f>
        <v>0</v>
      </c>
    </row>
    <row r="14" spans="2:26">
      <c r="B14" s="4" t="s">
        <v>154</v>
      </c>
      <c r="C14" s="6">
        <f>C9-C10-C11-C12-C13</f>
        <v>0</v>
      </c>
      <c r="D14" s="6">
        <f>D9-D10-D11-D12-D13</f>
        <v>0</v>
      </c>
      <c r="E14" s="6">
        <f>E9-E10-E11-E12-E13</f>
        <v>0</v>
      </c>
      <c r="F14" s="6">
        <f>F9-F10-F11-F12-F13</f>
        <v>0</v>
      </c>
      <c r="G14" s="6">
        <f>G9-G10-G11-G12-G13</f>
        <v>0</v>
      </c>
      <c r="H14" s="6">
        <f>H9-H10-H11-H12-H13</f>
        <v>0</v>
      </c>
      <c r="I14" s="6">
        <f>I9-I10-I11-I12-I13</f>
        <v>0</v>
      </c>
      <c r="J14" s="6">
        <f>J9-J10-J11-J12-J13</f>
        <v>0</v>
      </c>
      <c r="K14" s="6">
        <f>K9-K10-K11-K12-K13</f>
        <v>0</v>
      </c>
      <c r="L14" s="6">
        <f>L9-L10-L11-L12-L13</f>
        <v>0</v>
      </c>
      <c r="M14" s="6">
        <f>M9-M10-M11-M12-M13</f>
        <v>0</v>
      </c>
      <c r="N14" s="6">
        <f>N9-N10-N11-N12-N13</f>
        <v>0</v>
      </c>
      <c r="O14" s="6">
        <f>O9-O10-O11-O12-O13</f>
        <v>0</v>
      </c>
      <c r="P14" s="6">
        <f>P9-P10-P11-P12-P13</f>
        <v>0</v>
      </c>
      <c r="Q14" s="6">
        <f>Q9-Q10-Q11-Q12-Q13</f>
        <v>0</v>
      </c>
      <c r="R14" s="6">
        <f>R9-R10-R11-R12-R13</f>
        <v>0</v>
      </c>
      <c r="S14" s="6">
        <f>S9-S10-S11-S12-S13</f>
        <v>0</v>
      </c>
      <c r="T14" s="6">
        <f>T9-T10-T11-T12-T13</f>
        <v>0</v>
      </c>
      <c r="U14" s="6">
        <f>U9-U10-U11-U12-U13</f>
        <v>0</v>
      </c>
      <c r="V14" s="6">
        <f>V9-V10-V11-V12-V13</f>
        <v>0</v>
      </c>
      <c r="W14" s="6">
        <f>W9-W10-W11-W12-W13</f>
        <v>0</v>
      </c>
      <c r="X14" s="6">
        <f>X9-X10-X11-X12-X13</f>
        <v>0</v>
      </c>
      <c r="Y14" s="6">
        <f>Y9-Y10-Y11-Y12-Y13</f>
        <v>0</v>
      </c>
      <c r="Z14" s="6">
        <f>Z9-Z10-Z11-Z12-Z13</f>
        <v>0</v>
      </c>
    </row>
    <row r="15" spans="2:26">
      <c r="B15" s="4" t="s">
        <v>155</v>
      </c>
      <c r="C15" s="5">
        <f>IFERROR(C14/C7,0)</f>
        <v>0</v>
      </c>
      <c r="D15" s="5">
        <f>IFERROR(D14/D7,0)</f>
        <v>0</v>
      </c>
      <c r="E15" s="5">
        <f>IFERROR(E14/E7,0)</f>
        <v>0</v>
      </c>
      <c r="F15" s="5">
        <f>IFERROR(F14/F7,0)</f>
        <v>0</v>
      </c>
      <c r="G15" s="5">
        <f>IFERROR(G14/G7,0)</f>
        <v>0</v>
      </c>
      <c r="H15" s="5">
        <f>IFERROR(H14/H7,0)</f>
        <v>0</v>
      </c>
      <c r="I15" s="5">
        <f>IFERROR(I14/I7,0)</f>
        <v>0</v>
      </c>
      <c r="J15" s="5">
        <f>IFERROR(J14/J7,0)</f>
        <v>0</v>
      </c>
      <c r="K15" s="5">
        <f>IFERROR(K14/K7,0)</f>
        <v>0</v>
      </c>
      <c r="L15" s="5">
        <f>IFERROR(L14/L7,0)</f>
        <v>0</v>
      </c>
      <c r="M15" s="5">
        <f>IFERROR(M14/M7,0)</f>
        <v>0</v>
      </c>
      <c r="N15" s="5">
        <f>IFERROR(N14/N7,0)</f>
        <v>0</v>
      </c>
      <c r="O15" s="5">
        <f>IFERROR(O14/O7,0)</f>
        <v>0</v>
      </c>
      <c r="P15" s="5">
        <f>IFERROR(P14/P7,0)</f>
        <v>0</v>
      </c>
      <c r="Q15" s="5">
        <f>IFERROR(Q14/Q7,0)</f>
        <v>0</v>
      </c>
      <c r="R15" s="5">
        <f>IFERROR(R14/R7,0)</f>
        <v>0</v>
      </c>
      <c r="S15" s="5">
        <f>IFERROR(S14/S7,0)</f>
        <v>0</v>
      </c>
      <c r="T15" s="5">
        <f>IFERROR(T14/T7,0)</f>
        <v>0</v>
      </c>
      <c r="U15" s="5">
        <f>IFERROR(U14/U7,0)</f>
        <v>0</v>
      </c>
      <c r="V15" s="5">
        <f>IFERROR(V14/V7,0)</f>
        <v>0</v>
      </c>
      <c r="W15" s="5">
        <f>IFERROR(W14/W7,0)</f>
        <v>0</v>
      </c>
      <c r="X15" s="5">
        <f>IFERROR(X14/X7,0)</f>
        <v>0</v>
      </c>
      <c r="Y15" s="5">
        <f>IFERROR(Y14/Y7,0)</f>
        <v>0</v>
      </c>
      <c r="Z15" s="5">
        <f>IFERROR(Z14/Z7,0)</f>
        <v>0</v>
      </c>
    </row>
    <row r="16" spans="2:26">
      <c r="B16" s="4" t="s">
        <v>156</v>
      </c>
      <c r="C16" s="17">
        <f>-Допущения!$C$34+C14</f>
        <v>0</v>
      </c>
      <c r="D16" s="17">
        <f>C16+D14</f>
        <v>0</v>
      </c>
      <c r="E16" s="17">
        <f>D16+E14</f>
        <v>0</v>
      </c>
      <c r="F16" s="17">
        <f>E16+F14</f>
        <v>0</v>
      </c>
      <c r="G16" s="17">
        <f>F16+G14</f>
        <v>0</v>
      </c>
      <c r="H16" s="17">
        <f>G16+H14</f>
        <v>0</v>
      </c>
      <c r="I16" s="17">
        <f>H16+I14</f>
        <v>0</v>
      </c>
      <c r="J16" s="17">
        <f>I16+J14</f>
        <v>0</v>
      </c>
      <c r="K16" s="17">
        <f>J16+K14</f>
        <v>0</v>
      </c>
      <c r="L16" s="17">
        <f>K16+L14</f>
        <v>0</v>
      </c>
      <c r="M16" s="17">
        <f>L16+M14</f>
        <v>0</v>
      </c>
      <c r="N16" s="17">
        <f>M16+N14</f>
        <v>0</v>
      </c>
      <c r="O16" s="17">
        <f>N16+O14</f>
        <v>0</v>
      </c>
      <c r="P16" s="17">
        <f>O16+P14</f>
        <v>0</v>
      </c>
      <c r="Q16" s="17">
        <f>P16+Q14</f>
        <v>0</v>
      </c>
      <c r="R16" s="17">
        <f>Q16+R14</f>
        <v>0</v>
      </c>
      <c r="S16" s="17">
        <f>R16+S14</f>
        <v>0</v>
      </c>
      <c r="T16" s="17">
        <f>S16+T14</f>
        <v>0</v>
      </c>
      <c r="U16" s="17">
        <f>T16+U14</f>
        <v>0</v>
      </c>
      <c r="V16" s="17">
        <f>U16+V14</f>
        <v>0</v>
      </c>
      <c r="W16" s="17">
        <f>V16+W14</f>
        <v>0</v>
      </c>
      <c r="X16" s="17">
        <f>W16+X14</f>
        <v>0</v>
      </c>
      <c r="Y16" s="17">
        <f>X16+Y14</f>
        <v>0</v>
      </c>
      <c r="Z16" s="17">
        <f>Y16+Z14</f>
        <v>0</v>
      </c>
    </row>
    <row r="18" spans="2:5">
      <c r="B18" s="3" t="s">
        <v>166</v>
      </c>
      <c r="C18" s="14" t="s">
        <v>147</v>
      </c>
      <c r="D18" s="14" t="s">
        <v>158</v>
      </c>
      <c r="E18" s="14" t="s">
        <v>155</v>
      </c>
    </row>
    <row r="19" spans="2:5">
      <c r="B19" s="4" t="s">
        <v>159</v>
      </c>
      <c r="C19" s="6">
        <f>SUM(C7:N7)</f>
        <v>0</v>
      </c>
      <c r="D19" s="6">
        <f>SUM(C14:N14)</f>
        <v>0</v>
      </c>
      <c r="E19" s="5">
        <f>IFERROR(D19/C19,0)</f>
        <v>0</v>
      </c>
    </row>
    <row r="20" spans="2:5">
      <c r="B20" s="4" t="s">
        <v>160</v>
      </c>
      <c r="C20" s="6">
        <f>SUM(O7:Z7)</f>
        <v>0</v>
      </c>
      <c r="D20" s="6">
        <f>SUM(O14:Z14)</f>
        <v>0</v>
      </c>
      <c r="E20" s="5">
        <f>IFERROR(D20/C20,0)</f>
        <v>0</v>
      </c>
    </row>
    <row r="21" spans="2:5">
      <c r="B21" s="4" t="s">
        <v>167</v>
      </c>
      <c r="C21" s="6">
        <f>(Допущения!$C$36*Допущения!$C$37*Допущения!$C$39)*12*(1+Допущения!$C$47)</f>
        <v>0</v>
      </c>
      <c r="D21" s="6">
        <f>C21*(1-Допущения!$C$57-Допущения!$C$58-Допущения!$C$59-Допущения!$C$60-Допущения!$C$61)</f>
        <v>0</v>
      </c>
      <c r="E21" s="5">
        <f>IFERROR(D21/C21,0)</f>
        <v>0</v>
      </c>
    </row>
    <row r="23" spans="2:5">
      <c r="B23" s="4" t="s">
        <v>168</v>
      </c>
      <c r="C23" s="7">
        <f>IFERROR(MATCH(0,C16:Z16,1)+1,"-")</f>
        <v>0</v>
      </c>
      <c r="D23" s="8" t="s">
        <v>169</v>
      </c>
    </row>
  </sheetData>
  <conditionalFormatting sqref="C16:Z16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53"/>
  <sheetViews>
    <sheetView workbookViewId="0"/>
  </sheetViews>
  <sheetFormatPr defaultRowHeight="15"/>
  <cols>
    <col min="1" max="1" width="2.7109375" customWidth="1"/>
    <col min="2" max="2" width="44.7109375" customWidth="1"/>
    <col min="3" max="8" width="17.7109375" customWidth="1"/>
  </cols>
  <sheetData>
    <row r="2" spans="2:7">
      <c r="B2" s="1" t="s">
        <v>170</v>
      </c>
    </row>
    <row r="3" spans="2:7">
      <c r="B3" s="2" t="s">
        <v>171</v>
      </c>
    </row>
    <row r="5" spans="2:7">
      <c r="B5" s="13" t="s">
        <v>172</v>
      </c>
      <c r="C5" s="14" t="s">
        <v>173</v>
      </c>
      <c r="D5" s="14" t="s">
        <v>174</v>
      </c>
      <c r="E5" s="14" t="s">
        <v>175</v>
      </c>
      <c r="F5" s="14" t="s">
        <v>176</v>
      </c>
      <c r="G5" s="14" t="s">
        <v>177</v>
      </c>
    </row>
    <row r="6" spans="2:7">
      <c r="B6" s="4" t="s">
        <v>178</v>
      </c>
      <c r="C6" s="18">
        <f>Допущения!$C$64</f>
        <v>0</v>
      </c>
      <c r="D6" s="18">
        <f>Допущения!$C$66</f>
        <v>0</v>
      </c>
      <c r="E6" s="18">
        <f>Допущения!$C$68</f>
        <v>0</v>
      </c>
      <c r="F6" s="18">
        <f>Допущения!$C$70</f>
        <v>0</v>
      </c>
      <c r="G6" s="18">
        <f>Допущения!$C$72</f>
        <v>0</v>
      </c>
    </row>
    <row r="7" spans="2:7">
      <c r="B7" s="4" t="s">
        <v>179</v>
      </c>
      <c r="C7" s="18">
        <f>Допущения!$C$65</f>
        <v>0</v>
      </c>
      <c r="D7" s="18">
        <f>Допущения!$C$67</f>
        <v>0</v>
      </c>
      <c r="E7" s="18">
        <f>Допущения!$C$69</f>
        <v>0</v>
      </c>
      <c r="F7" s="18">
        <f>Допущения!$C$71</f>
        <v>0</v>
      </c>
      <c r="G7" s="18">
        <f>Допущения!$C$73</f>
        <v>0</v>
      </c>
    </row>
    <row r="8" spans="2:7">
      <c r="B8" s="4" t="s">
        <v>180</v>
      </c>
      <c r="C8" s="7">
        <f>Допущения!$C$64</f>
        <v>0</v>
      </c>
      <c r="D8" s="7">
        <f>C8+Допущения!$C$66</f>
        <v>0</v>
      </c>
      <c r="E8" s="7">
        <f>D8+Допущения!$C$68</f>
        <v>0</v>
      </c>
      <c r="F8" s="7">
        <f>E8+Допущения!$C$70</f>
        <v>0</v>
      </c>
      <c r="G8" s="7">
        <f>F8+Допущения!$C$72</f>
        <v>0</v>
      </c>
    </row>
    <row r="9" spans="2:7">
      <c r="B9" s="4" t="s">
        <v>181</v>
      </c>
      <c r="C9" s="7">
        <f>Допущения!$C$65</f>
        <v>0</v>
      </c>
      <c r="D9" s="7">
        <f>C9+Допущения!$C$67</f>
        <v>0</v>
      </c>
      <c r="E9" s="7">
        <f>D9+Допущения!$C$69</f>
        <v>0</v>
      </c>
      <c r="F9" s="7">
        <f>E9+Допущения!$C$71</f>
        <v>0</v>
      </c>
      <c r="G9" s="7">
        <f>F9+Допущения!$C$73</f>
        <v>0</v>
      </c>
    </row>
    <row r="10" spans="2:7">
      <c r="B10" s="4" t="s">
        <v>182</v>
      </c>
      <c r="C10" s="7">
        <f>C8+C9</f>
        <v>0</v>
      </c>
      <c r="D10" s="7">
        <f>D8+D9</f>
        <v>0</v>
      </c>
      <c r="E10" s="7">
        <f>E8+E9</f>
        <v>0</v>
      </c>
      <c r="F10" s="7">
        <f>F8+F9</f>
        <v>0</v>
      </c>
      <c r="G10" s="7">
        <f>G8+G9</f>
        <v>0</v>
      </c>
    </row>
    <row r="12" spans="2:7">
      <c r="B12" s="3" t="s">
        <v>183</v>
      </c>
    </row>
    <row r="13" spans="2:7">
      <c r="B13" s="4" t="s">
        <v>184</v>
      </c>
      <c r="C13" s="11">
        <v>0.55</v>
      </c>
    </row>
    <row r="14" spans="2:7">
      <c r="B14" s="4" t="s">
        <v>185</v>
      </c>
      <c r="C14" s="11">
        <v>0.9</v>
      </c>
    </row>
    <row r="15" spans="2:7">
      <c r="B15" s="4" t="s">
        <v>186</v>
      </c>
      <c r="C15" s="11">
        <v>1</v>
      </c>
    </row>
    <row r="17" spans="2:7">
      <c r="B17" s="3" t="s">
        <v>187</v>
      </c>
    </row>
    <row r="18" spans="2:7">
      <c r="B18" s="4" t="s">
        <v>188</v>
      </c>
      <c r="C18" s="16">
        <f>Допущения!$C$64*Сеть 5 лет!$C$13*(Допущения!$C$29*Допущения!$C$30*Допущения!$C$39*12)</f>
        <v>0</v>
      </c>
      <c r="D18" s="16">
        <f>Допущения!$C$64*Сеть 5 лет!$C$14*(Допущения!$C$29*Допущения!$C$30*Допущения!$C$39*12)</f>
        <v>0</v>
      </c>
      <c r="E18" s="16">
        <f>Допущения!$C$64*Сеть 5 лет!$C$15*(1+Допущения!$C$47)^0*(Допущения!$C$29*Допущения!$C$30*Допущения!$C$39*12)</f>
        <v>0</v>
      </c>
      <c r="F18" s="16">
        <f>Допущения!$C$64*Сеть 5 лет!$C$15*(1+Допущения!$C$47)^1*(Допущения!$C$29*Допущения!$C$30*Допущения!$C$39*12)</f>
        <v>0</v>
      </c>
      <c r="G18" s="16">
        <f>Допущения!$C$64*Сеть 5 лет!$C$15*(1+Допущения!$C$47)^2*(Допущения!$C$29*Допущения!$C$30*Допущения!$C$39*12)</f>
        <v>0</v>
      </c>
    </row>
    <row r="19" spans="2:7">
      <c r="B19" s="4" t="s">
        <v>189</v>
      </c>
      <c r="C19" s="16"/>
      <c r="D19" s="16">
        <f>Допущения!$C$66*Сеть 5 лет!$C$13*(Допущения!$C$29*Допущения!$C$30*Допущения!$C$39*12)</f>
        <v>0</v>
      </c>
      <c r="E19" s="16">
        <f>Допущения!$C$66*Сеть 5 лет!$C$14*(Допущения!$C$29*Допущения!$C$30*Допущения!$C$39*12)</f>
        <v>0</v>
      </c>
      <c r="F19" s="16">
        <f>Допущения!$C$66*Сеть 5 лет!$C$15*(1+Допущения!$C$47)^0*(Допущения!$C$29*Допущения!$C$30*Допущения!$C$39*12)</f>
        <v>0</v>
      </c>
      <c r="G19" s="16">
        <f>Допущения!$C$66*Сеть 5 лет!$C$15*(1+Допущения!$C$47)^1*(Допущения!$C$29*Допущения!$C$30*Допущения!$C$39*12)</f>
        <v>0</v>
      </c>
    </row>
    <row r="20" spans="2:7">
      <c r="B20" s="4" t="s">
        <v>190</v>
      </c>
      <c r="C20" s="16"/>
      <c r="D20" s="16"/>
      <c r="E20" s="16">
        <f>Допущения!$C$68*Сеть 5 лет!$C$13*(Допущения!$C$29*Допущения!$C$30*Допущения!$C$39*12)</f>
        <v>0</v>
      </c>
      <c r="F20" s="16">
        <f>Допущения!$C$68*Сеть 5 лет!$C$14*(Допущения!$C$29*Допущения!$C$30*Допущения!$C$39*12)</f>
        <v>0</v>
      </c>
      <c r="G20" s="16">
        <f>Допущения!$C$68*Сеть 5 лет!$C$15*(1+Допущения!$C$47)^0*(Допущения!$C$29*Допущения!$C$30*Допущения!$C$39*12)</f>
        <v>0</v>
      </c>
    </row>
    <row r="21" spans="2:7">
      <c r="B21" s="4" t="s">
        <v>191</v>
      </c>
      <c r="C21" s="16"/>
      <c r="D21" s="16"/>
      <c r="E21" s="16"/>
      <c r="F21" s="16">
        <f>Допущения!$C$70*Сеть 5 лет!$C$13*(Допущения!$C$29*Допущения!$C$30*Допущения!$C$39*12)</f>
        <v>0</v>
      </c>
      <c r="G21" s="16">
        <f>Допущения!$C$70*Сеть 5 лет!$C$14*(Допущения!$C$29*Допущения!$C$30*Допущения!$C$39*12)</f>
        <v>0</v>
      </c>
    </row>
    <row r="22" spans="2:7">
      <c r="B22" s="4" t="s">
        <v>192</v>
      </c>
      <c r="C22" s="16"/>
      <c r="D22" s="16"/>
      <c r="E22" s="16"/>
      <c r="F22" s="16"/>
      <c r="G22" s="16">
        <f>Допущения!$C$72*Сеть 5 лет!$C$13*(Допущения!$C$29*Допущения!$C$30*Допущения!$C$39*12)</f>
        <v>0</v>
      </c>
    </row>
    <row r="23" spans="2:7">
      <c r="B23" s="13" t="s">
        <v>193</v>
      </c>
      <c r="C23" s="6">
        <f>SUM(C18:C22)</f>
        <v>0</v>
      </c>
      <c r="D23" s="6">
        <f>SUM(D18:D22)</f>
        <v>0</v>
      </c>
      <c r="E23" s="6">
        <f>SUM(E18:E22)</f>
        <v>0</v>
      </c>
      <c r="F23" s="6">
        <f>SUM(F18:F22)</f>
        <v>0</v>
      </c>
      <c r="G23" s="6">
        <f>SUM(G18:G22)</f>
        <v>0</v>
      </c>
    </row>
    <row r="25" spans="2:7">
      <c r="B25" s="3" t="s">
        <v>194</v>
      </c>
    </row>
    <row r="26" spans="2:7">
      <c r="B26" s="4" t="s">
        <v>195</v>
      </c>
      <c r="C26" s="16">
        <f>Допущения!$C$65*Сеть 5 лет!$C$13*(Допущения!$C$36*Допущения!$C$37*Допущения!$C$39*12)</f>
        <v>0</v>
      </c>
      <c r="D26" s="16">
        <f>Допущения!$C$65*Сеть 5 лет!$C$14*(Допущения!$C$36*Допущения!$C$37*Допущения!$C$39*12)</f>
        <v>0</v>
      </c>
      <c r="E26" s="16">
        <f>Допущения!$C$65*Сеть 5 лет!$C$15*(1+Допущения!$C$47)^0*(Допущения!$C$36*Допущения!$C$37*Допущения!$C$39*12)</f>
        <v>0</v>
      </c>
      <c r="F26" s="16">
        <f>Допущения!$C$65*Сеть 5 лет!$C$15*(1+Допущения!$C$47)^1*(Допущения!$C$36*Допущения!$C$37*Допущения!$C$39*12)</f>
        <v>0</v>
      </c>
      <c r="G26" s="16">
        <f>Допущения!$C$65*Сеть 5 лет!$C$15*(1+Допущения!$C$47)^2*(Допущения!$C$36*Допущения!$C$37*Допущения!$C$39*12)</f>
        <v>0</v>
      </c>
    </row>
    <row r="27" spans="2:7">
      <c r="B27" s="4" t="s">
        <v>196</v>
      </c>
      <c r="C27" s="16"/>
      <c r="D27" s="16">
        <f>Допущения!$C$67*Сеть 5 лет!$C$13*(Допущения!$C$36*Допущения!$C$37*Допущения!$C$39*12)</f>
        <v>0</v>
      </c>
      <c r="E27" s="16">
        <f>Допущения!$C$67*Сеть 5 лет!$C$14*(Допущения!$C$36*Допущения!$C$37*Допущения!$C$39*12)</f>
        <v>0</v>
      </c>
      <c r="F27" s="16">
        <f>Допущения!$C$67*Сеть 5 лет!$C$15*(1+Допущения!$C$47)^0*(Допущения!$C$36*Допущения!$C$37*Допущения!$C$39*12)</f>
        <v>0</v>
      </c>
      <c r="G27" s="16">
        <f>Допущения!$C$67*Сеть 5 лет!$C$15*(1+Допущения!$C$47)^1*(Допущения!$C$36*Допущения!$C$37*Допущения!$C$39*12)</f>
        <v>0</v>
      </c>
    </row>
    <row r="28" spans="2:7">
      <c r="B28" s="4" t="s">
        <v>197</v>
      </c>
      <c r="C28" s="16"/>
      <c r="D28" s="16"/>
      <c r="E28" s="16">
        <f>Допущения!$C$69*Сеть 5 лет!$C$13*(Допущения!$C$36*Допущения!$C$37*Допущения!$C$39*12)</f>
        <v>0</v>
      </c>
      <c r="F28" s="16">
        <f>Допущения!$C$69*Сеть 5 лет!$C$14*(Допущения!$C$36*Допущения!$C$37*Допущения!$C$39*12)</f>
        <v>0</v>
      </c>
      <c r="G28" s="16">
        <f>Допущения!$C$69*Сеть 5 лет!$C$15*(1+Допущения!$C$47)^0*(Допущения!$C$36*Допущения!$C$37*Допущения!$C$39*12)</f>
        <v>0</v>
      </c>
    </row>
    <row r="29" spans="2:7">
      <c r="B29" s="4" t="s">
        <v>198</v>
      </c>
      <c r="C29" s="16"/>
      <c r="D29" s="16"/>
      <c r="E29" s="16"/>
      <c r="F29" s="16">
        <f>Допущения!$C$71*Сеть 5 лет!$C$13*(Допущения!$C$36*Допущения!$C$37*Допущения!$C$39*12)</f>
        <v>0</v>
      </c>
      <c r="G29" s="16">
        <f>Допущения!$C$71*Сеть 5 лет!$C$14*(Допущения!$C$36*Допущения!$C$37*Допущения!$C$39*12)</f>
        <v>0</v>
      </c>
    </row>
    <row r="30" spans="2:7">
      <c r="B30" s="4" t="s">
        <v>199</v>
      </c>
      <c r="C30" s="16"/>
      <c r="D30" s="16"/>
      <c r="E30" s="16"/>
      <c r="F30" s="16"/>
      <c r="G30" s="16">
        <f>Допущения!$C$73*Сеть 5 лет!$C$13*(Допущения!$C$36*Допущения!$C$37*Допущения!$C$39*12)</f>
        <v>0</v>
      </c>
    </row>
    <row r="31" spans="2:7">
      <c r="B31" s="13" t="s">
        <v>200</v>
      </c>
      <c r="C31" s="6">
        <f>SUM(C26:C30)</f>
        <v>0</v>
      </c>
      <c r="D31" s="6">
        <f>SUM(D26:D30)</f>
        <v>0</v>
      </c>
      <c r="E31" s="6">
        <f>SUM(E26:E30)</f>
        <v>0</v>
      </c>
      <c r="F31" s="6">
        <f>SUM(F26:F30)</f>
        <v>0</v>
      </c>
      <c r="G31" s="6">
        <f>SUM(G26:G30)</f>
        <v>0</v>
      </c>
    </row>
    <row r="33" spans="2:7">
      <c r="B33" s="13" t="s">
        <v>201</v>
      </c>
      <c r="C33" s="19">
        <f>C23+C31</f>
        <v>0</v>
      </c>
      <c r="D33" s="19">
        <f>D23+D31</f>
        <v>0</v>
      </c>
      <c r="E33" s="19">
        <f>E23+E31</f>
        <v>0</v>
      </c>
      <c r="F33" s="19">
        <f>F23+F31</f>
        <v>0</v>
      </c>
      <c r="G33" s="19">
        <f>G23+G31</f>
        <v>0</v>
      </c>
    </row>
    <row r="35" spans="2:7">
      <c r="B35" s="3" t="s">
        <v>202</v>
      </c>
    </row>
    <row r="36" spans="2:7">
      <c r="B36" s="4" t="s">
        <v>148</v>
      </c>
      <c r="C36" s="16">
        <f>C33*(80%*Допущения!$C$57+20%*Допущения!$C$50)</f>
        <v>0</v>
      </c>
      <c r="D36" s="16">
        <f>D33*(80%*Допущения!$C$57+20%*Допущения!$C$50)</f>
        <v>0</v>
      </c>
      <c r="E36" s="16">
        <f>E33*(80%*Допущения!$C$57+20%*Допущения!$C$50)</f>
        <v>0</v>
      </c>
      <c r="F36" s="16">
        <f>F33*(80%*Допущения!$C$57+20%*Допущения!$C$50)</f>
        <v>0</v>
      </c>
      <c r="G36" s="16">
        <f>G33*(80%*Допущения!$C$57+20%*Допущения!$C$50)</f>
        <v>0</v>
      </c>
    </row>
    <row r="37" spans="2:7">
      <c r="B37" s="4" t="s">
        <v>150</v>
      </c>
      <c r="C37" s="16">
        <f>C33*(80%*Допущения!$C$58+20%*Допущения!$C$51)</f>
        <v>0</v>
      </c>
      <c r="D37" s="16">
        <f>D33*(80%*Допущения!$C$58+20%*Допущения!$C$51)</f>
        <v>0</v>
      </c>
      <c r="E37" s="16">
        <f>E33*(80%*Допущения!$C$58+20%*Допущения!$C$51)</f>
        <v>0</v>
      </c>
      <c r="F37" s="16">
        <f>F33*(80%*Допущения!$C$58+20%*Допущения!$C$51)</f>
        <v>0</v>
      </c>
      <c r="G37" s="16">
        <f>G33*(80%*Допущения!$C$58+20%*Допущения!$C$51)</f>
        <v>0</v>
      </c>
    </row>
    <row r="38" spans="2:7">
      <c r="B38" s="4" t="s">
        <v>203</v>
      </c>
      <c r="C38" s="16">
        <f>C33*(80%*Допущения!$C$59+20%*Допущения!$C$52)</f>
        <v>0</v>
      </c>
      <c r="D38" s="16">
        <f>D33*(80%*Допущения!$C$59+20%*Допущения!$C$52)</f>
        <v>0</v>
      </c>
      <c r="E38" s="16">
        <f>E33*(80%*Допущения!$C$59+20%*Допущения!$C$52)</f>
        <v>0</v>
      </c>
      <c r="F38" s="16">
        <f>F33*(80%*Допущения!$C$59+20%*Допущения!$C$52)</f>
        <v>0</v>
      </c>
      <c r="G38" s="16">
        <f>G33*(80%*Допущения!$C$59+20%*Допущения!$C$52)</f>
        <v>0</v>
      </c>
    </row>
    <row r="39" spans="2:7">
      <c r="B39" s="4" t="s">
        <v>152</v>
      </c>
      <c r="C39" s="16">
        <f>C33*(80%*Допущения!$C$60+20%*Допущения!$C$53)</f>
        <v>0</v>
      </c>
      <c r="D39" s="16">
        <f>D33*(80%*Допущения!$C$60+20%*Допущения!$C$53)</f>
        <v>0</v>
      </c>
      <c r="E39" s="16">
        <f>E33*(80%*Допущения!$C$60+20%*Допущения!$C$53)</f>
        <v>0</v>
      </c>
      <c r="F39" s="16">
        <f>F33*(80%*Допущения!$C$60+20%*Допущения!$C$53)</f>
        <v>0</v>
      </c>
      <c r="G39" s="16">
        <f>G33*(80%*Допущения!$C$60+20%*Допущения!$C$53)</f>
        <v>0</v>
      </c>
    </row>
    <row r="40" spans="2:7">
      <c r="B40" s="4" t="s">
        <v>204</v>
      </c>
      <c r="C40" s="16">
        <f>C33*(80%*Допущения!$C$61+20%*Допущения!$C$54)</f>
        <v>0</v>
      </c>
      <c r="D40" s="16">
        <f>D33*(80%*Допущения!$C$61+20%*Допущения!$C$54)</f>
        <v>0</v>
      </c>
      <c r="E40" s="16">
        <f>E33*(80%*Допущения!$C$61+20%*Допущения!$C$54)</f>
        <v>0</v>
      </c>
      <c r="F40" s="16">
        <f>F33*(80%*Допущения!$C$61+20%*Допущения!$C$54)</f>
        <v>0</v>
      </c>
      <c r="G40" s="16">
        <f>G33*(80%*Допущения!$C$61+20%*Допущения!$C$54)</f>
        <v>0</v>
      </c>
    </row>
    <row r="41" spans="2:7">
      <c r="B41" s="4" t="s">
        <v>205</v>
      </c>
      <c r="C41" s="16">
        <f>C33*Допущения!$C$76</f>
        <v>0</v>
      </c>
      <c r="D41" s="16">
        <f>D33*Допущения!$C$77</f>
        <v>0</v>
      </c>
      <c r="E41" s="16">
        <f>E33*Допущения!$C$78</f>
        <v>0</v>
      </c>
      <c r="F41" s="16">
        <f>F33*Допущения!$C$79</f>
        <v>0</v>
      </c>
      <c r="G41" s="16">
        <f>G33*Допущения!$C$80</f>
        <v>0</v>
      </c>
    </row>
    <row r="42" spans="2:7">
      <c r="B42" s="4" t="s">
        <v>113</v>
      </c>
      <c r="C42" s="16">
        <f>C33*Допущения!$C$81</f>
        <v>0</v>
      </c>
      <c r="D42" s="16">
        <f>D33*Допущения!$C$81</f>
        <v>0</v>
      </c>
      <c r="E42" s="16">
        <f>E33*Допущения!$C$81</f>
        <v>0</v>
      </c>
      <c r="F42" s="16">
        <f>F33*Допущения!$C$81</f>
        <v>0</v>
      </c>
      <c r="G42" s="16">
        <f>G33*Допущения!$C$81</f>
        <v>0</v>
      </c>
    </row>
    <row r="43" spans="2:7">
      <c r="B43" s="4" t="s">
        <v>206</v>
      </c>
      <c r="C43" s="16">
        <v>0</v>
      </c>
      <c r="D43" s="16">
        <f>D33*Допущения!$C$82</f>
        <v>0</v>
      </c>
      <c r="E43" s="16">
        <f>E33*Допущения!$C$82</f>
        <v>0</v>
      </c>
      <c r="F43" s="16">
        <f>F33*Допущения!$C$82</f>
        <v>0</v>
      </c>
      <c r="G43" s="16">
        <f>G33*Допущения!$C$82</f>
        <v>0</v>
      </c>
    </row>
    <row r="44" spans="2:7">
      <c r="B44" s="4" t="s">
        <v>207</v>
      </c>
      <c r="C44" s="16">
        <f>C33*Допущения!$C$83</f>
        <v>0</v>
      </c>
      <c r="D44" s="16">
        <f>D33*Допущения!$C$83</f>
        <v>0</v>
      </c>
      <c r="E44" s="16">
        <f>E33*Допущения!$C$83</f>
        <v>0</v>
      </c>
      <c r="F44" s="16">
        <f>F33*Допущения!$C$83</f>
        <v>0</v>
      </c>
      <c r="G44" s="16">
        <f>G33*Допущения!$C$83</f>
        <v>0</v>
      </c>
    </row>
    <row r="45" spans="2:7">
      <c r="B45" s="13" t="s">
        <v>208</v>
      </c>
      <c r="C45" s="19">
        <f>C33-SUM(C36:C44)</f>
        <v>0</v>
      </c>
      <c r="D45" s="19">
        <f>D33-SUM(D36:D44)</f>
        <v>0</v>
      </c>
      <c r="E45" s="19">
        <f>E33-SUM(E36:E44)</f>
        <v>0</v>
      </c>
      <c r="F45" s="19">
        <f>F33-SUM(F36:F44)</f>
        <v>0</v>
      </c>
      <c r="G45" s="19">
        <f>G33-SUM(G36:G44)</f>
        <v>0</v>
      </c>
    </row>
    <row r="46" spans="2:7">
      <c r="B46" s="4" t="s">
        <v>155</v>
      </c>
      <c r="C46" s="5">
        <f>IFERROR(C45/C33,0)</f>
        <v>0</v>
      </c>
      <c r="D46" s="5">
        <f>IFERROR(D45/D33,0)</f>
        <v>0</v>
      </c>
      <c r="E46" s="5">
        <f>IFERROR(E45/E33,0)</f>
        <v>0</v>
      </c>
      <c r="F46" s="5">
        <f>IFERROR(F45/F33,0)</f>
        <v>0</v>
      </c>
      <c r="G46" s="5">
        <f>IFERROR(G45/G33,0)</f>
        <v>0</v>
      </c>
    </row>
    <row r="49" spans="2:7">
      <c r="B49" s="3" t="s">
        <v>209</v>
      </c>
    </row>
    <row r="50" spans="2:7">
      <c r="B50" s="4" t="s">
        <v>210</v>
      </c>
      <c r="C50" s="16">
        <f>Допущения!$C$64*Допущения!$C$27</f>
        <v>0</v>
      </c>
      <c r="D50" s="16">
        <f>Допущения!$C$66*Допущения!$C$27</f>
        <v>0</v>
      </c>
      <c r="E50" s="16">
        <f>Допущения!$C$68*Допущения!$C$27</f>
        <v>0</v>
      </c>
      <c r="F50" s="16">
        <f>Допущения!$C$70*Допущения!$C$27</f>
        <v>0</v>
      </c>
      <c r="G50" s="16">
        <f>Допущения!$C$72*Допущения!$C$27</f>
        <v>0</v>
      </c>
    </row>
    <row r="51" spans="2:7">
      <c r="B51" s="4" t="s">
        <v>211</v>
      </c>
      <c r="C51" s="16">
        <f>Допущения!$C$65*Допущения!$C$34</f>
        <v>0</v>
      </c>
      <c r="D51" s="16">
        <f>Допущения!$C$67*Допущения!$C$34</f>
        <v>0</v>
      </c>
      <c r="E51" s="16">
        <f>Допущения!$C$69*Допущения!$C$34</f>
        <v>0</v>
      </c>
      <c r="F51" s="16">
        <f>Допущения!$C$71*Допущения!$C$34</f>
        <v>0</v>
      </c>
      <c r="G51" s="16">
        <f>Допущения!$C$73*Допущения!$C$34</f>
        <v>0</v>
      </c>
    </row>
    <row r="52" spans="2:7">
      <c r="B52" s="4" t="s">
        <v>212</v>
      </c>
      <c r="C52" s="6">
        <f>C50+C51</f>
        <v>0</v>
      </c>
      <c r="D52" s="6">
        <f>D50+D51</f>
        <v>0</v>
      </c>
      <c r="E52" s="6">
        <f>E50+E51</f>
        <v>0</v>
      </c>
      <c r="F52" s="6">
        <f>F50+F51</f>
        <v>0</v>
      </c>
      <c r="G52" s="6">
        <f>G50+G51</f>
        <v>0</v>
      </c>
    </row>
    <row r="53" spans="2:7">
      <c r="B53" s="4" t="s">
        <v>213</v>
      </c>
      <c r="C53" s="6">
        <f>C52</f>
        <v>0</v>
      </c>
      <c r="D53" s="6">
        <f>C53+D52</f>
        <v>0</v>
      </c>
      <c r="E53" s="6">
        <f>D53+E52</f>
        <v>0</v>
      </c>
      <c r="F53" s="6">
        <f>E53+F52</f>
        <v>0</v>
      </c>
      <c r="G53" s="6">
        <f>F53+G52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25"/>
  <sheetViews>
    <sheetView workbookViewId="0"/>
  </sheetViews>
  <sheetFormatPr defaultRowHeight="15"/>
  <cols>
    <col min="1" max="1" width="2.7109375" customWidth="1"/>
    <col min="2" max="2" width="44.7109375" customWidth="1"/>
    <col min="3" max="4" width="16.7109375" customWidth="1"/>
    <col min="5" max="5" width="50.7109375" customWidth="1"/>
  </cols>
  <sheetData>
    <row r="2" spans="2:5">
      <c r="B2" s="1" t="s">
        <v>214</v>
      </c>
    </row>
    <row r="3" spans="2:5">
      <c r="B3" s="2" t="s">
        <v>215</v>
      </c>
    </row>
    <row r="5" spans="2:5">
      <c r="B5" s="13" t="s">
        <v>216</v>
      </c>
      <c r="C5" s="14" t="s">
        <v>217</v>
      </c>
      <c r="D5" s="14" t="s">
        <v>218</v>
      </c>
      <c r="E5" s="14" t="s">
        <v>219</v>
      </c>
    </row>
    <row r="6" spans="2:5">
      <c r="B6" s="4" t="s">
        <v>220</v>
      </c>
      <c r="C6" s="16">
        <v>45000000</v>
      </c>
      <c r="D6" s="15">
        <v>0.1125</v>
      </c>
      <c r="E6" s="8" t="s">
        <v>221</v>
      </c>
    </row>
    <row r="7" spans="2:5">
      <c r="B7" s="4" t="s">
        <v>222</v>
      </c>
      <c r="C7" s="16">
        <v>130000000</v>
      </c>
      <c r="D7" s="15">
        <v>0.325</v>
      </c>
      <c r="E7" s="8" t="s">
        <v>223</v>
      </c>
    </row>
    <row r="8" spans="2:5">
      <c r="B8" s="4" t="s">
        <v>224</v>
      </c>
      <c r="C8" s="16">
        <v>80000000</v>
      </c>
      <c r="D8" s="15">
        <v>0.2</v>
      </c>
      <c r="E8" s="8" t="s">
        <v>225</v>
      </c>
    </row>
    <row r="9" spans="2:5">
      <c r="B9" s="4" t="s">
        <v>226</v>
      </c>
      <c r="C9" s="16">
        <v>70000000</v>
      </c>
      <c r="D9" s="15">
        <v>0.175</v>
      </c>
      <c r="E9" s="8" t="s">
        <v>227</v>
      </c>
    </row>
    <row r="10" spans="2:5">
      <c r="B10" s="4" t="s">
        <v>228</v>
      </c>
      <c r="C10" s="16">
        <v>25000000</v>
      </c>
      <c r="D10" s="15">
        <v>0.0625</v>
      </c>
      <c r="E10" s="8" t="s">
        <v>229</v>
      </c>
    </row>
    <row r="11" spans="2:5">
      <c r="B11" s="4" t="s">
        <v>117</v>
      </c>
      <c r="C11" s="16">
        <v>10000000</v>
      </c>
      <c r="D11" s="15">
        <v>0.025</v>
      </c>
      <c r="E11" s="8" t="s">
        <v>230</v>
      </c>
    </row>
    <row r="12" spans="2:5">
      <c r="B12" s="4" t="s">
        <v>231</v>
      </c>
      <c r="C12" s="16">
        <v>10000000</v>
      </c>
      <c r="D12" s="15">
        <v>0.025</v>
      </c>
      <c r="E12" s="8" t="s">
        <v>232</v>
      </c>
    </row>
    <row r="13" spans="2:5">
      <c r="B13" s="4" t="s">
        <v>233</v>
      </c>
      <c r="C13" s="16">
        <v>30000000</v>
      </c>
      <c r="D13" s="15">
        <v>0.075</v>
      </c>
      <c r="E13" s="8" t="s">
        <v>234</v>
      </c>
    </row>
    <row r="14" spans="2:5">
      <c r="B14" s="13" t="s">
        <v>235</v>
      </c>
      <c r="C14" s="19">
        <f>SUM(C6:C13)</f>
        <v>0</v>
      </c>
      <c r="D14" s="5">
        <f>SUM(D6:D13)</f>
        <v>0</v>
      </c>
    </row>
    <row r="17" spans="2:4">
      <c r="B17" s="3" t="s">
        <v>236</v>
      </c>
    </row>
    <row r="18" spans="2:4">
      <c r="B18" s="4" t="s">
        <v>237</v>
      </c>
      <c r="C18" s="6">
        <v>280000000</v>
      </c>
      <c r="D18" s="5">
        <v>0.7</v>
      </c>
    </row>
    <row r="19" spans="2:4">
      <c r="B19" s="4" t="s">
        <v>238</v>
      </c>
      <c r="C19" s="6">
        <v>120000000</v>
      </c>
      <c r="D19" s="5">
        <v>0.3</v>
      </c>
    </row>
    <row r="21" spans="2:4">
      <c r="B21" s="3" t="s">
        <v>239</v>
      </c>
    </row>
    <row r="22" spans="2:4">
      <c r="B22" s="4" t="s">
        <v>240</v>
      </c>
      <c r="C22" s="6">
        <v>80000000</v>
      </c>
      <c r="D22" s="4" t="s">
        <v>241</v>
      </c>
    </row>
    <row r="24" spans="2:4">
      <c r="B24" s="3" t="s">
        <v>242</v>
      </c>
    </row>
    <row r="25" spans="2:4">
      <c r="B25" s="4" t="s">
        <v>243</v>
      </c>
      <c r="C25" s="6">
        <v>1200000000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G18"/>
  <sheetViews>
    <sheetView workbookViewId="0"/>
  </sheetViews>
  <sheetFormatPr defaultRowHeight="15"/>
  <cols>
    <col min="1" max="1" width="2.7109375" customWidth="1"/>
    <col min="2" max="2" width="36.7109375" customWidth="1"/>
    <col min="3" max="7" width="18.7109375" customWidth="1"/>
  </cols>
  <sheetData>
    <row r="2" spans="2:7">
      <c r="B2" s="1" t="s">
        <v>244</v>
      </c>
    </row>
    <row r="3" spans="2:7">
      <c r="B3" s="2" t="s">
        <v>245</v>
      </c>
    </row>
    <row r="5" spans="2:7">
      <c r="B5" s="13"/>
      <c r="C5" s="14" t="s">
        <v>246</v>
      </c>
      <c r="D5" s="14" t="s">
        <v>247</v>
      </c>
      <c r="E5" s="14" t="s">
        <v>248</v>
      </c>
      <c r="F5" s="14" t="s">
        <v>249</v>
      </c>
      <c r="G5" s="14" t="s">
        <v>250</v>
      </c>
    </row>
    <row r="6" spans="2:7">
      <c r="B6" s="4" t="s">
        <v>251</v>
      </c>
      <c r="C6" s="11">
        <v>1</v>
      </c>
      <c r="D6" s="11">
        <v>1.25</v>
      </c>
      <c r="E6" s="11">
        <v>0.8</v>
      </c>
      <c r="F6" s="11">
        <v>0.65</v>
      </c>
      <c r="G6" s="11">
        <v>1.08</v>
      </c>
    </row>
    <row r="7" spans="2:7">
      <c r="B7" s="4" t="s">
        <v>252</v>
      </c>
      <c r="C7" s="11">
        <v>1</v>
      </c>
      <c r="D7" s="11">
        <v>1.4</v>
      </c>
      <c r="E7" s="11">
        <v>0.6</v>
      </c>
      <c r="F7" s="11">
        <v>0.2</v>
      </c>
      <c r="G7" s="11">
        <v>1.18</v>
      </c>
    </row>
    <row r="9" spans="2:7">
      <c r="B9" s="4" t="s">
        <v>253</v>
      </c>
      <c r="C9" s="6">
        <f>'Сеть 5 лет'!G33*C6</f>
        <v>0</v>
      </c>
      <c r="D9" s="6">
        <f>'Сеть 5 лет'!G33*D6</f>
        <v>0</v>
      </c>
      <c r="E9" s="6">
        <f>'Сеть 5 лет'!G33*E6</f>
        <v>0</v>
      </c>
      <c r="F9" s="6">
        <f>'Сеть 5 лет'!G33*F6</f>
        <v>0</v>
      </c>
      <c r="G9" s="6">
        <f>'Сеть 5 лет'!G33*G6</f>
        <v>0</v>
      </c>
    </row>
    <row r="10" spans="2:7">
      <c r="B10" s="4" t="s">
        <v>254</v>
      </c>
      <c r="C10" s="6">
        <f>'Сеть 5 лет'!G45*C7</f>
        <v>0</v>
      </c>
      <c r="D10" s="6">
        <f>'Сеть 5 лет'!G45*D7</f>
        <v>0</v>
      </c>
      <c r="E10" s="6">
        <f>'Сеть 5 лет'!G45*E7</f>
        <v>0</v>
      </c>
      <c r="F10" s="6">
        <f>'Сеть 5 лет'!G45*F7</f>
        <v>0</v>
      </c>
      <c r="G10" s="6">
        <f>'Сеть 5 лет'!G45*G7</f>
        <v>0</v>
      </c>
    </row>
    <row r="11" spans="2:7">
      <c r="B11" s="4" t="s">
        <v>255</v>
      </c>
      <c r="C11" s="5">
        <f>IFERROR(C10/C9,0)</f>
        <v>0</v>
      </c>
      <c r="D11" s="5">
        <f>IFERROR(D10/D9,0)</f>
        <v>0</v>
      </c>
      <c r="E11" s="5">
        <f>IFERROR(E10/E9,0)</f>
        <v>0</v>
      </c>
      <c r="F11" s="5">
        <f>IFERROR(F10/F9,0)</f>
        <v>0</v>
      </c>
      <c r="G11" s="5">
        <f>IFERROR(G10/G9,0)</f>
        <v>0</v>
      </c>
    </row>
    <row r="14" spans="2:7">
      <c r="B14" s="3" t="s">
        <v>256</v>
      </c>
    </row>
    <row r="15" spans="2:7">
      <c r="B15" s="4" t="s">
        <v>257</v>
      </c>
      <c r="C15" s="8" t="s">
        <v>258</v>
      </c>
      <c r="D15" s="8"/>
      <c r="E15" s="8"/>
      <c r="F15" s="8"/>
      <c r="G15" s="8"/>
    </row>
    <row r="16" spans="2:7">
      <c r="B16" s="4" t="s">
        <v>259</v>
      </c>
      <c r="C16" s="8" t="s">
        <v>260</v>
      </c>
      <c r="D16" s="8"/>
      <c r="E16" s="8"/>
      <c r="F16" s="8"/>
      <c r="G16" s="8"/>
    </row>
    <row r="17" spans="2:7">
      <c r="B17" s="4" t="s">
        <v>249</v>
      </c>
      <c r="C17" s="8" t="s">
        <v>261</v>
      </c>
      <c r="D17" s="8"/>
      <c r="E17" s="8"/>
      <c r="F17" s="8"/>
      <c r="G17" s="8"/>
    </row>
    <row r="18" spans="2:7">
      <c r="B18" s="4" t="s">
        <v>262</v>
      </c>
      <c r="C18" s="8" t="s">
        <v>263</v>
      </c>
      <c r="D18" s="8"/>
      <c r="E18" s="8"/>
      <c r="F18" s="8"/>
      <c r="G18" s="8"/>
    </row>
  </sheetData>
  <mergeCells count="5">
    <mergeCell ref="C14:G14"/>
    <mergeCell ref="C15:G15"/>
    <mergeCell ref="C16:G16"/>
    <mergeCell ref="C17:G17"/>
    <mergeCell ref="C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Дашборд</vt:lpstr>
      <vt:lpstr>Допущения</vt:lpstr>
      <vt:lpstr>Магазин-флагман</vt:lpstr>
      <vt:lpstr>Магазин-компакт</vt:lpstr>
      <vt:lpstr>Сеть 5 лет</vt:lpstr>
      <vt:lpstr>Use of funds</vt:lpstr>
      <vt:lpstr>Сценарии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2026-05-10T00:27:48Z</dcterms:created>
  <dcterms:modified xsi:type="dcterms:W3CDTF">2026-05-10T00:27:48Z</dcterms:modified>
</cp:coreProperties>
</file>