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Дашборд" sheetId="1" state="visible" r:id="rId1"/>
    <sheet xmlns:r="http://schemas.openxmlformats.org/officeDocument/2006/relationships" name="Допущения" sheetId="2" state="visible" r:id="rId2"/>
    <sheet xmlns:r="http://schemas.openxmlformats.org/officeDocument/2006/relationships" name="Магазин-флагман 24 мес" sheetId="3" state="visible" r:id="rId3"/>
    <sheet xmlns:r="http://schemas.openxmlformats.org/officeDocument/2006/relationships" name="Магазин-компакт 24 мес" sheetId="4" state="visible" r:id="rId4"/>
    <sheet xmlns:r="http://schemas.openxmlformats.org/officeDocument/2006/relationships" name="Сеть 5 лет" sheetId="5" state="visible" r:id="rId5"/>
    <sheet xmlns:r="http://schemas.openxmlformats.org/officeDocument/2006/relationships" name="Use of funds" sheetId="6" state="visible" r:id="rId6"/>
    <sheet xmlns:r="http://schemas.openxmlformats.org/officeDocument/2006/relationships" name="Сценарии" sheetId="7" state="visible" r:id="rId7"/>
    <sheet xmlns:r="http://schemas.openxmlformats.org/officeDocument/2006/relationships" name="Working capital" sheetId="8" state="visible" r:id="rId8"/>
    <sheet xmlns:r="http://schemas.openxmlformats.org/officeDocument/2006/relationships" name="Центральный цех Y2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#,##0.0"/>
    <numFmt numFmtId="166" formatCode="0.0"/>
    <numFmt numFmtId="167" formatCode="0.00&quot;x&quot;"/>
  </numFmts>
  <fonts count="13">
    <font>
      <name val="Calibri"/>
      <family val="2"/>
      <color theme="1"/>
      <sz val="11"/>
      <scheme val="minor"/>
    </font>
    <font>
      <name val="Cormorant Garamond"/>
      <b val="1"/>
      <color rgb="00C8102E"/>
      <sz val="18"/>
    </font>
    <font>
      <name val="Onest"/>
      <i val="1"/>
      <color rgb="008A8A8A"/>
      <sz val="9"/>
    </font>
    <font>
      <name val="Cormorant Garamond"/>
      <b val="1"/>
      <color rgb="00FFFFFF"/>
      <sz val="14"/>
    </font>
    <font>
      <name val="Onest"/>
      <color rgb="001A1A1A"/>
      <sz val="10"/>
    </font>
    <font>
      <name val="Onest"/>
      <i val="1"/>
      <color rgb="001A1A1A"/>
      <sz val="10"/>
    </font>
    <font>
      <name val="Onest"/>
      <b val="1"/>
      <color rgb="001A1A1A"/>
      <sz val="10"/>
    </font>
    <font>
      <name val="Cormorant Garamond"/>
      <b val="1"/>
      <color rgb="00C8102E"/>
      <sz val="16"/>
    </font>
    <font>
      <name val="Onest"/>
      <b val="1"/>
      <color rgb="00FFFFFF"/>
      <sz val="10"/>
    </font>
    <font>
      <name val="Onest"/>
      <b val="1"/>
      <color rgb="00FFFFFF"/>
      <sz val="11"/>
    </font>
    <font>
      <name val="Onest"/>
      <b val="1"/>
      <i val="1"/>
      <color rgb="001A1A1A"/>
      <sz val="10"/>
    </font>
    <font>
      <name val="Cormorant Garamond"/>
      <b val="1"/>
      <color rgb="00C8102E"/>
      <sz val="20"/>
    </font>
    <font>
      <name val="Onest"/>
      <i val="1"/>
      <color rgb="008A8A8A"/>
      <sz val="10"/>
    </font>
  </fonts>
  <fills count="10">
    <fill>
      <patternFill/>
    </fill>
    <fill>
      <patternFill patternType="gray125"/>
    </fill>
    <fill>
      <patternFill patternType="solid">
        <fgColor rgb="0014502B"/>
      </patternFill>
    </fill>
    <fill>
      <patternFill patternType="solid">
        <fgColor rgb="00F0EDE3"/>
      </patternFill>
    </fill>
    <fill>
      <patternFill patternType="solid">
        <fgColor rgb="00E8F4E8"/>
      </patternFill>
    </fill>
    <fill>
      <patternFill patternType="solid">
        <fgColor rgb="00C8102E"/>
      </patternFill>
    </fill>
    <fill>
      <patternFill patternType="solid">
        <fgColor rgb="00FFF6E0"/>
      </patternFill>
    </fill>
    <fill>
      <patternFill patternType="solid">
        <fgColor rgb="00FFF0F0"/>
      </patternFill>
    </fill>
    <fill>
      <patternFill patternType="solid">
        <fgColor rgb="00FFE9C9"/>
      </patternFill>
    </fill>
    <fill>
      <patternFill patternType="solid">
        <fgColor rgb="001E6B3A"/>
      </patternFill>
    </fill>
  </fills>
  <borders count="6">
    <border>
      <left/>
      <right/>
      <top/>
      <bottom/>
      <diagonal/>
    </border>
    <border>
      <left style="thin">
        <color rgb="00D8D2C2"/>
      </left>
      <right style="thin">
        <color rgb="00D8D2C2"/>
      </right>
      <top style="thin">
        <color rgb="00D8D2C2"/>
      </top>
      <bottom style="thin">
        <color rgb="00D8D2C2"/>
      </bottom>
    </border>
    <border>
      <left/>
      <right/>
      <top style="thin">
        <color rgb="00D8D2C2"/>
      </top>
      <bottom/>
      <diagonal/>
    </border>
    <border>
      <left/>
      <right style="thin">
        <color rgb="00D8D2C2"/>
      </right>
      <top style="thin">
        <color rgb="00D8D2C2"/>
      </top>
      <bottom/>
      <diagonal/>
    </border>
    <border>
      <left/>
      <right/>
      <top style="thin">
        <color rgb="00D8D2C2"/>
      </top>
      <bottom style="thin">
        <color rgb="00D8D2C2"/>
      </bottom>
      <diagonal/>
    </border>
    <border>
      <left/>
      <right style="thin">
        <color rgb="00D8D2C2"/>
      </right>
      <top style="thin">
        <color rgb="00D8D2C2"/>
      </top>
      <bottom style="thin">
        <color rgb="00D8D2C2"/>
      </bottom>
      <diagonal/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9" fillId="5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left" vertical="center" wrapText="1"/>
    </xf>
    <xf numFmtId="3" fontId="6" fillId="4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left" vertical="center" wrapText="1"/>
    </xf>
    <xf numFmtId="164" fontId="6" fillId="4" borderId="1" applyAlignment="1" pivotButton="0" quotePrefix="0" xfId="0">
      <alignment horizontal="right" vertical="center"/>
    </xf>
    <xf numFmtId="167" fontId="6" fillId="4" borderId="1" applyAlignment="1" pivotButton="0" quotePrefix="0" xfId="0">
      <alignment horizontal="right" vertical="center"/>
    </xf>
    <xf numFmtId="0" fontId="10" fillId="0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left" vertical="center" indent="1"/>
    </xf>
    <xf numFmtId="0" fontId="0" fillId="0" borderId="4" pivotButton="0" quotePrefix="0" xfId="0"/>
    <xf numFmtId="0" fontId="0" fillId="0" borderId="5" pivotButton="0" quotePrefix="0" xfId="0"/>
    <xf numFmtId="0" fontId="4" fillId="0" borderId="1" applyAlignment="1" pivotButton="0" quotePrefix="0" xfId="0">
      <alignment horizontal="left" vertical="center" wrapText="1"/>
    </xf>
    <xf numFmtId="0" fontId="1" fillId="0" borderId="0" pivotButton="0" quotePrefix="0" xfId="0"/>
    <xf numFmtId="0" fontId="2" fillId="0" borderId="0" pivotButton="0" quotePrefix="0" xfId="0"/>
    <xf numFmtId="10" fontId="4" fillId="0" borderId="1" applyAlignment="1" pivotButton="0" quotePrefix="0" xfId="0">
      <alignment horizontal="right" vertical="center"/>
    </xf>
    <xf numFmtId="3" fontId="4" fillId="0" borderId="1" applyAlignment="1" pivotButton="0" quotePrefix="0" xfId="0">
      <alignment horizontal="right" vertical="center"/>
    </xf>
    <xf numFmtId="164" fontId="4" fillId="0" borderId="1" applyAlignment="1" pivotButton="0" quotePrefix="0" xfId="0">
      <alignment horizontal="right" vertical="center"/>
    </xf>
    <xf numFmtId="164" fontId="6" fillId="3" borderId="1" applyAlignment="1" pivotButton="0" quotePrefix="0" xfId="0">
      <alignment horizontal="right" vertical="center"/>
    </xf>
    <xf numFmtId="0" fontId="7" fillId="0" borderId="0" pivotButton="0" quotePrefix="0" xfId="0"/>
    <xf numFmtId="0" fontId="9" fillId="2" borderId="1" applyAlignment="1" pivotButton="0" quotePrefix="0" xfId="0">
      <alignment horizontal="center" vertical="center" wrapText="1"/>
    </xf>
    <xf numFmtId="0" fontId="8" fillId="2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center" vertical="center" wrapText="1"/>
    </xf>
    <xf numFmtId="3" fontId="6" fillId="3" borderId="1" applyAlignment="1" pivotButton="0" quotePrefix="0" xfId="0">
      <alignment horizontal="right" vertical="center"/>
    </xf>
    <xf numFmtId="165" fontId="6" fillId="3" borderId="1" applyAlignment="1" pivotButton="0" quotePrefix="0" xfId="0">
      <alignment horizontal="right" vertical="center"/>
    </xf>
    <xf numFmtId="2" fontId="4" fillId="0" borderId="1" applyAlignment="1" pivotButton="0" quotePrefix="0" xfId="0">
      <alignment horizontal="right" vertical="center"/>
    </xf>
    <xf numFmtId="3" fontId="6" fillId="6" borderId="1" applyAlignment="1" pivotButton="0" quotePrefix="0" xfId="0">
      <alignment horizontal="right" vertical="center"/>
    </xf>
    <xf numFmtId="166" fontId="4" fillId="0" borderId="1" applyAlignment="1" pivotButton="0" quotePrefix="0" xfId="0">
      <alignment horizontal="right" vertical="center"/>
    </xf>
    <xf numFmtId="3" fontId="6" fillId="7" borderId="1" applyAlignment="1" pivotButton="0" quotePrefix="0" xfId="0">
      <alignment horizontal="right" vertical="center"/>
    </xf>
    <xf numFmtId="3" fontId="6" fillId="8" borderId="1" applyAlignment="1" pivotButton="0" quotePrefix="0" xfId="0">
      <alignment horizontal="right" vertical="center"/>
    </xf>
    <xf numFmtId="3" fontId="4" fillId="7" borderId="1" applyAlignment="1" pivotButton="0" quotePrefix="0" xfId="0">
      <alignment horizontal="right" vertical="center"/>
    </xf>
    <xf numFmtId="0" fontId="9" fillId="9" borderId="1" applyAlignment="1" pivotButton="0" quotePrefix="0" xfId="0">
      <alignment horizontal="center" vertical="center" wrapText="1"/>
    </xf>
    <xf numFmtId="164" fontId="6" fillId="0" borderId="1" applyAlignment="1" pivotButton="0" quotePrefix="0" xfId="0">
      <alignment horizontal="right" vertical="center"/>
    </xf>
    <xf numFmtId="167" fontId="6" fillId="0" borderId="1" applyAlignment="1" pivotButton="0" quotePrefix="0" xfId="0">
      <alignment horizontal="right" vertical="center"/>
    </xf>
    <xf numFmtId="3" fontId="6" fillId="0" borderId="1" applyAlignment="1" pivotButton="0" quotePrefix="0" xfId="0">
      <alignment horizontal="right" vertical="center"/>
    </xf>
    <xf numFmtId="165" fontId="4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3"/>
  <sheetViews>
    <sheetView workbookViewId="0">
      <selection activeCell="A1" sqref="A1"/>
    </sheetView>
  </sheetViews>
  <sheetFormatPr baseColWidth="8" defaultRowHeight="15"/>
  <cols>
    <col width="42" customWidth="1" min="1" max="1"/>
    <col width="22" customWidth="1" min="2" max="2"/>
    <col width="22" customWidth="1" min="3" max="3"/>
    <col width="38" customWidth="1" min="4" max="4"/>
  </cols>
  <sheetData>
    <row r="1" ht="32" customHeight="1">
      <c r="A1" s="1" t="inlineStr">
        <is>
          <t>ЧАПАН · Финмодель v5 · Дашборд KPI</t>
        </is>
      </c>
    </row>
    <row r="2">
      <c r="A2" s="2" t="inlineStr">
        <is>
          <t>Engagement reference: CHAPAN-FINMODEL-V5-2026-06-02 · Series A ₽400 млн equity-only · 34 магазина к Y5</t>
        </is>
      </c>
    </row>
    <row r="4">
      <c r="A4" s="3" t="inlineStr">
        <is>
          <t>Метрика</t>
        </is>
      </c>
      <c r="B4" s="3" t="inlineStr">
        <is>
          <t>Значение</t>
        </is>
      </c>
      <c r="C4" s="3" t="inlineStr">
        <is>
          <t>Формула</t>
        </is>
      </c>
      <c r="D4" s="3" t="inlineStr">
        <is>
          <t>Комментарий</t>
        </is>
      </c>
    </row>
    <row r="5">
      <c r="A5" s="4" t="inlineStr">
        <is>
          <t>Выручка Y5, ₽ млн</t>
        </is>
      </c>
      <c r="B5" s="5">
        <f>'Сеть 5 лет'!F14</f>
        <v/>
      </c>
      <c r="C5" s="6" t="inlineStr">
        <is>
          <t>ссылка на Сеть 5 лет F{}</t>
        </is>
      </c>
      <c r="D5" s="6" t="inlineStr">
        <is>
          <t>целевое ~₽2 900М</t>
        </is>
      </c>
    </row>
    <row r="6">
      <c r="A6" s="4" t="inlineStr">
        <is>
          <t>Выручка Y5 в млрд</t>
        </is>
      </c>
      <c r="B6" s="5">
        <f>'Сеть 5 лет'!F14/1000</f>
        <v/>
      </c>
      <c r="C6" s="6" t="inlineStr">
        <is>
          <t>/1000</t>
        </is>
      </c>
      <c r="D6" s="6" t="inlineStr">
        <is>
          <t>≈ ₽2,9 млрд</t>
        </is>
      </c>
    </row>
    <row r="7">
      <c r="A7" s="4" t="inlineStr">
        <is>
          <t>EBITDA Y5, ₽ млн</t>
        </is>
      </c>
      <c r="B7" s="5">
        <f>'Сеть 5 лет'!F27</f>
        <v/>
      </c>
      <c r="C7" s="6" t="inlineStr">
        <is>
          <t>ссылка на Сеть 5 лет F27</t>
        </is>
      </c>
      <c r="D7" s="6" t="inlineStr">
        <is>
          <t>целевое ~₽135М</t>
        </is>
      </c>
    </row>
    <row r="8">
      <c r="A8" s="4" t="inlineStr">
        <is>
          <t>EBITDA маржа Y5</t>
        </is>
      </c>
      <c r="B8" s="7">
        <f>'Сеть 5 лет'!F28</f>
        <v/>
      </c>
      <c r="C8" s="6" t="inlineStr">
        <is>
          <t>ссылка</t>
        </is>
      </c>
      <c r="D8" s="6" t="inlineStr">
        <is>
          <t>целевое 4,5-5,0%</t>
        </is>
      </c>
    </row>
    <row r="9">
      <c r="A9" s="4" t="inlineStr">
        <is>
          <t>Кумулятивная выручка Y1-Y5</t>
        </is>
      </c>
      <c r="B9" s="5">
        <f>'Сеть 5 лет'!G14</f>
        <v/>
      </c>
      <c r="C9" s="6" t="inlineStr">
        <is>
          <t>SUM Y1:Y5</t>
        </is>
      </c>
      <c r="D9" s="6" t="inlineStr"/>
    </row>
    <row r="10">
      <c r="A10" s="4" t="inlineStr">
        <is>
          <t>Кумулятивная EBITDA Y1-Y5</t>
        </is>
      </c>
      <c r="B10" s="5">
        <f>'Сеть 5 лет'!G27</f>
        <v/>
      </c>
      <c r="C10" s="6" t="inlineStr">
        <is>
          <t>SUM Y1:Y5</t>
        </is>
      </c>
      <c r="D10" s="6" t="inlineStr"/>
    </row>
    <row r="11">
      <c r="A11" s="4" t="inlineStr">
        <is>
          <t>CapEx суммарный Y1-Y5</t>
        </is>
      </c>
      <c r="B11" s="5">
        <f>'Сеть 5 лет'!G33</f>
        <v/>
      </c>
      <c r="C11" s="6" t="inlineStr">
        <is>
          <t>SUM Y1:Y5</t>
        </is>
      </c>
      <c r="D11" s="6" t="inlineStr">
        <is>
          <t>включая центр. цех Y2</t>
        </is>
      </c>
    </row>
    <row r="12">
      <c r="A12" s="4" t="inlineStr">
        <is>
          <t>IRR базовый (формула IRR)</t>
        </is>
      </c>
      <c r="B12" s="7">
        <f>'Сеть 5 лет'!B43</f>
        <v/>
      </c>
      <c r="C12" s="6">
        <f>IRR('Сеть 5 лет'!B41:G41)</f>
        <v/>
      </c>
      <c r="D12" s="6" t="inlineStr">
        <is>
          <t>целевое 13-16%</t>
        </is>
      </c>
    </row>
    <row r="13">
      <c r="A13" s="4" t="inlineStr">
        <is>
          <t>IRR Ramadan uplift (формула IRR)</t>
        </is>
      </c>
      <c r="B13" s="7">
        <f>'Сеть 5 лет'!B44</f>
        <v/>
      </c>
      <c r="C13" s="6">
        <f>IRR('Сеть 5 лет'!B42:G42)</f>
        <v/>
      </c>
      <c r="D13" s="6" t="inlineStr">
        <is>
          <t>целевое 17-20%</t>
        </is>
      </c>
    </row>
    <row r="14">
      <c r="A14" s="4" t="inlineStr">
        <is>
          <t>MOIC базовый (multiple on invested capital)</t>
        </is>
      </c>
      <c r="B14" s="8">
        <f>'Сеть 5 лет'!B45</f>
        <v/>
      </c>
      <c r="C14" s="6" t="inlineStr">
        <is>
          <t>SUM(C-G)/-B</t>
        </is>
      </c>
      <c r="D14" s="6" t="inlineStr">
        <is>
          <t>≈ 1,8-2,2×</t>
        </is>
      </c>
    </row>
    <row r="15">
      <c r="A15" s="4" t="inlineStr">
        <is>
          <t>Series A объём, ₽ млн</t>
        </is>
      </c>
      <c r="B15" s="5" t="n">
        <v>400</v>
      </c>
      <c r="C15" s="6" t="inlineStr">
        <is>
          <t>константа</t>
        </is>
      </c>
      <c r="D15" s="6" t="inlineStr">
        <is>
          <t>equity-only, 2 транша 250+150</t>
        </is>
      </c>
    </row>
    <row r="16">
      <c r="A16" s="4" t="inlineStr">
        <is>
          <t>Доля инвестора, %</t>
        </is>
      </c>
      <c r="B16" s="7">
        <f>'Сеть 5 лет'!B38</f>
        <v/>
      </c>
      <c r="C16" s="6" t="inlineStr">
        <is>
          <t>ссылка</t>
        </is>
      </c>
      <c r="D16" s="6" t="inlineStr">
        <is>
          <t>40% (vs 60% Аслан+команда)</t>
        </is>
      </c>
    </row>
    <row r="17">
      <c r="A17" s="4" t="inlineStr">
        <is>
          <t>Payback инвестора (год)</t>
        </is>
      </c>
      <c r="B17" s="9" t="inlineStr">
        <is>
          <t>≈ 5 лет (через exit)</t>
        </is>
      </c>
      <c r="C17" s="6" t="inlineStr">
        <is>
          <t>—</t>
        </is>
      </c>
      <c r="D17" s="6" t="inlineStr">
        <is>
          <t>exit в конце Y5 при EV/EBITDA = 5×</t>
        </is>
      </c>
    </row>
    <row r="18">
      <c r="A18" s="4" t="inlineStr">
        <is>
          <t>Магазинов к Y5</t>
        </is>
      </c>
      <c r="B18" s="5">
        <f>'Сеть 5 лет'!F7+'Сеть 5 лет'!F8</f>
        <v/>
      </c>
      <c r="C18" s="6" t="inlineStr">
        <is>
          <t>сумма cum компакт + флагман</t>
        </is>
      </c>
      <c r="D18" s="6" t="inlineStr">
        <is>
          <t>34 (1 фл + 33 ко)</t>
        </is>
      </c>
    </row>
    <row r="19">
      <c r="A19" s="4" t="inlineStr">
        <is>
          <t>Store-level EBITDA маржа флагмана (на пике)</t>
        </is>
      </c>
      <c r="B19" s="7">
        <f>Допущения!B32</f>
        <v/>
      </c>
      <c r="C19" s="6">
        <f>1-SUM(cost shares)</f>
        <v/>
      </c>
      <c r="D19" s="6" t="inlineStr">
        <is>
          <t>целевое 5-10%</t>
        </is>
      </c>
    </row>
    <row r="20">
      <c r="A20" s="4" t="inlineStr">
        <is>
          <t>Store-level EBITDA маржа компакт (на пике)</t>
        </is>
      </c>
      <c r="B20" s="7">
        <f>Допущения!B52</f>
        <v/>
      </c>
      <c r="C20" s="6">
        <f>1-SUM(cost shares)</f>
        <v/>
      </c>
      <c r="D20" s="6" t="inlineStr">
        <is>
          <t>целевое 7-12%</t>
        </is>
      </c>
    </row>
    <row r="21">
      <c r="A21" s="4" t="inlineStr">
        <is>
          <t>Сумма долей затрат флагмана (валидация)</t>
        </is>
      </c>
      <c r="B21" s="5">
        <f>Допущения!B31</f>
        <v/>
      </c>
      <c r="C21" s="6">
        <f>SUM(cost shares)</f>
        <v/>
      </c>
      <c r="D21" s="6" t="inlineStr">
        <is>
          <t>≤95% target</t>
        </is>
      </c>
    </row>
    <row r="22">
      <c r="A22" s="4" t="inlineStr">
        <is>
          <t>Сумма долей затрат компакт (валидация)</t>
        </is>
      </c>
      <c r="B22" s="5">
        <f>Допущения!B51</f>
        <v/>
      </c>
      <c r="C22" s="6">
        <f>SUM(cost shares)</f>
        <v/>
      </c>
      <c r="D22" s="6" t="inlineStr">
        <is>
          <t>≤95% target</t>
        </is>
      </c>
    </row>
    <row r="25">
      <c r="A25" s="10" t="inlineStr">
        <is>
          <t>Что изменилось v4 → v5 (ключевое):</t>
        </is>
      </c>
      <c r="B25" s="11" t="n"/>
      <c r="C25" s="11" t="n"/>
      <c r="D25" s="12" t="n"/>
    </row>
    <row r="26">
      <c r="A26" s="13" t="inlineStr">
        <is>
          <t>1. План Y5: 65 → 34 магазина (кадровая база МСК физически не выдаёт 95-130 халяль-мясников)</t>
        </is>
      </c>
      <c r="B26" s="11" t="n"/>
      <c r="C26" s="11" t="n"/>
      <c r="D26" s="12" t="n"/>
    </row>
    <row r="27">
      <c r="A27" s="13" t="inlineStr">
        <is>
          <t>2. Series A: 70/30 equity/debt → 100% equity (банк подключается только Q4 Y1)</t>
        </is>
      </c>
      <c r="B27" s="11" t="n"/>
      <c r="C27" s="11" t="n"/>
      <c r="D27" s="12" t="n"/>
    </row>
    <row r="28">
      <c r="A28" s="13" t="inlineStr">
        <is>
          <t>3. Working capital pool ₽50М — НОВАЯ отдельная строка (кассовый разрыв халяль-поставщики 0-14 дней)</t>
        </is>
      </c>
      <c r="B28" s="11" t="n"/>
      <c r="C28" s="11" t="n"/>
      <c r="D28" s="12" t="n"/>
    </row>
    <row r="29">
      <c r="A29" s="13" t="inlineStr">
        <is>
          <t>4. Центральный производственный цех Y2 ₽65М — НОВЫЙ лист модели (был «невидимая дыра» в v4)</t>
        </is>
      </c>
      <c r="B29" s="11" t="n"/>
      <c r="C29" s="11" t="n"/>
      <c r="D29" s="12" t="n"/>
    </row>
    <row r="30">
      <c r="A30" s="13" t="inlineStr">
        <is>
          <t>5. Срок до открытия флагмана: 9-15 мес → 14 мес (реалистичный buffer на Россети)</t>
        </is>
      </c>
      <c r="B30" s="11" t="n"/>
      <c r="C30" s="11" t="n"/>
      <c r="D30" s="12" t="n"/>
    </row>
    <row r="31">
      <c r="A31" s="13" t="inlineStr">
        <is>
          <t>6. Cost shares: формула =SUM, сумма ≤95% (в v4 была 129% и давала EBITDA минус 29% на пике)</t>
        </is>
      </c>
      <c r="B31" s="11" t="n"/>
      <c r="C31" s="11" t="n"/>
      <c r="D31" s="12" t="n"/>
    </row>
    <row r="32">
      <c r="A32" s="13" t="inlineStr">
        <is>
          <t>7. Маркетинг: плоско 2,5% → колоночно 10% Y1 / 6% Y2-Y3 / 3,5% Y4+</t>
        </is>
      </c>
      <c r="B32" s="11" t="n"/>
      <c r="C32" s="11" t="n"/>
      <c r="D32" s="12" t="n"/>
    </row>
    <row r="33">
      <c r="A33" s="13" t="inlineStr">
        <is>
          <t>8. IRR: вручную проставлено 11-13% → расчётная формула IRR() от cashflow</t>
        </is>
      </c>
      <c r="B33" s="11" t="n"/>
      <c r="C33" s="11" t="n"/>
      <c r="D33" s="12" t="n"/>
    </row>
  </sheetData>
  <mergeCells count="11">
    <mergeCell ref="A1:D1"/>
    <mergeCell ref="A27:D27"/>
    <mergeCell ref="A31:D31"/>
    <mergeCell ref="A26:D26"/>
    <mergeCell ref="A30:D30"/>
    <mergeCell ref="A29:D29"/>
    <mergeCell ref="A25:D25"/>
    <mergeCell ref="A2:D2"/>
    <mergeCell ref="A33:D33"/>
    <mergeCell ref="A28:D28"/>
    <mergeCell ref="A32:D3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66"/>
  <sheetViews>
    <sheetView workbookViewId="0">
      <selection activeCell="A1" sqref="A1"/>
    </sheetView>
  </sheetViews>
  <sheetFormatPr baseColWidth="8" defaultRowHeight="15"/>
  <cols>
    <col width="42" customWidth="1" min="1" max="1"/>
    <col width="18" customWidth="1" min="2" max="2"/>
    <col width="14" customWidth="1" min="3" max="3"/>
    <col width="38" customWidth="1" min="4" max="4"/>
  </cols>
  <sheetData>
    <row r="1" ht="26" customHeight="1">
      <c r="A1" s="14" t="inlineStr">
        <is>
          <t>ЧАПАН · Финмодель v5 · Допущения</t>
        </is>
      </c>
    </row>
    <row r="2" ht="16" customHeight="1">
      <c r="A2" s="15" t="inlineStr">
        <is>
          <t>Engagement reference: CHAPAN-FINMODEL-V5-2026-06-02 · автор: FP&amp;A директор (Big-4 уровень) · подпись: Аслан Каа, Founder/CEO</t>
        </is>
      </c>
    </row>
    <row r="4">
      <c r="A4" s="10" t="inlineStr">
        <is>
          <t>1. Макроэкономика РФ 2026</t>
        </is>
      </c>
      <c r="B4" s="11" t="n"/>
      <c r="C4" s="11" t="n"/>
      <c r="D4" s="12" t="n"/>
    </row>
    <row r="5">
      <c r="A5" s="13" t="inlineStr">
        <is>
          <t>Ставка ЦБ (рабочая)</t>
        </is>
      </c>
      <c r="B5" s="16" t="n">
        <v>0.2</v>
      </c>
      <c r="C5" s="13" t="inlineStr"/>
      <c r="D5" s="6" t="inlineStr">
        <is>
          <t>ЦБ РФ май 2026: 19-21%</t>
        </is>
      </c>
    </row>
    <row r="6">
      <c r="A6" s="13" t="inlineStr">
        <is>
          <t>Эквайринг (с НДС 22% с 01.01.2026)</t>
        </is>
      </c>
      <c r="B6" s="16" t="n">
        <v>0.0244</v>
      </c>
      <c r="C6" s="13" t="inlineStr"/>
      <c r="D6" s="6" t="inlineStr">
        <is>
          <t>1.8-2.3% + НДС</t>
        </is>
      </c>
    </row>
    <row r="7">
      <c r="A7" s="13" t="inlineStr">
        <is>
          <t>Соцналог + страховые (ФОТ-надбавка)</t>
        </is>
      </c>
      <c r="B7" s="16" t="n">
        <v>0.302</v>
      </c>
      <c r="C7" s="13" t="inlineStr"/>
      <c r="D7" s="6" t="inlineStr">
        <is>
          <t>стандарт РФ</t>
        </is>
      </c>
    </row>
    <row r="8">
      <c r="A8" s="13" t="inlineStr">
        <is>
          <t>Инфляция CPI</t>
        </is>
      </c>
      <c r="B8" s="16" t="n">
        <v>0.075</v>
      </c>
      <c r="C8" s="13" t="inlineStr"/>
      <c r="D8" s="6" t="inlineStr">
        <is>
          <t>Минэк прогноз 2026-2028</t>
        </is>
      </c>
    </row>
    <row r="9">
      <c r="A9" s="13" t="inlineStr">
        <is>
          <t>Индексация аренды (CPI cap)</t>
        </is>
      </c>
      <c r="B9" s="16" t="n">
        <v>0.08</v>
      </c>
      <c r="C9" s="13" t="inlineStr"/>
      <c r="D9" s="6" t="inlineStr">
        <is>
          <t>стандартный договор</t>
        </is>
      </c>
    </row>
    <row r="10">
      <c r="A10" s="13" t="inlineStr">
        <is>
          <t>Премия ФОТ к рынку (дефицит кадров халяль)</t>
        </is>
      </c>
      <c r="B10" s="16" t="n">
        <v>0.3</v>
      </c>
      <c r="C10" s="13" t="inlineStr"/>
      <c r="D10" s="6" t="inlineStr">
        <is>
          <t>+25-35% по SPEC</t>
        </is>
      </c>
    </row>
    <row r="11">
      <c r="A11" s="13" t="inlineStr">
        <is>
          <t>Резерв текучки ФОТ/год</t>
        </is>
      </c>
      <c r="B11" s="16" t="n">
        <v>0.35</v>
      </c>
      <c r="C11" s="13" t="inlineStr"/>
      <c r="D11" s="6" t="inlineStr">
        <is>
          <t>халяль-сегмент</t>
        </is>
      </c>
    </row>
    <row r="13">
      <c r="A13" s="10" t="inlineStr">
        <is>
          <t>2. Юнит-метрики магазина-флагмана (300 м², Текстильщики)</t>
        </is>
      </c>
      <c r="B13" s="11" t="n"/>
      <c r="C13" s="11" t="n"/>
      <c r="D13" s="12" t="n"/>
    </row>
    <row r="14">
      <c r="A14" s="13" t="inlineStr">
        <is>
          <t>Площадь, м²</t>
        </is>
      </c>
      <c r="B14" s="17" t="n">
        <v>300</v>
      </c>
      <c r="D14" s="6" t="inlineStr">
        <is>
          <t>канон</t>
        </is>
      </c>
    </row>
    <row r="15">
      <c r="A15" s="13" t="inlineStr">
        <is>
          <t>Средний чек, ₽</t>
        </is>
      </c>
      <c r="B15" s="17" t="n">
        <v>1700</v>
      </c>
      <c r="D15" s="6" t="inlineStr">
        <is>
          <t>канон, премиум-халяль</t>
        </is>
      </c>
    </row>
    <row r="16">
      <c r="A16" s="13" t="inlineStr">
        <is>
          <t>Чеков/день на пике</t>
        </is>
      </c>
      <c r="B16" s="17" t="n">
        <v>190</v>
      </c>
      <c r="D16" s="6" t="inlineStr">
        <is>
          <t>канон</t>
        </is>
      </c>
    </row>
    <row r="17">
      <c r="A17" s="13" t="inlineStr">
        <is>
          <t>Выручка/мес на пике, ₽</t>
        </is>
      </c>
      <c r="B17" s="17">
        <f>B15*B16*30</f>
        <v/>
      </c>
      <c r="D17" s="6">
        <f> чек × чеков/день × 30</f>
        <v/>
      </c>
    </row>
    <row r="18">
      <c r="A18" s="13" t="inlineStr">
        <is>
          <t>Выручка/год на пике, ₽</t>
        </is>
      </c>
      <c r="B18" s="17">
        <f>B17*12</f>
        <v/>
      </c>
      <c r="D18" s="6">
        <f> месячная × 12</f>
        <v/>
      </c>
    </row>
    <row r="19">
      <c r="A19" s="13" t="inlineStr">
        <is>
          <t>Ramp-up Y1 (доля от пика, в среднем)</t>
        </is>
      </c>
      <c r="B19" s="16" t="n">
        <v>0.55</v>
      </c>
      <c r="D19" s="6" t="inlineStr">
        <is>
          <t>120-180 дней до пика</t>
        </is>
      </c>
    </row>
    <row r="20">
      <c r="A20" s="13" t="inlineStr">
        <is>
          <t>CapEx, ₽ млн</t>
        </is>
      </c>
      <c r="B20" s="17" t="n">
        <v>51</v>
      </c>
      <c r="D20" s="6" t="inlineStr">
        <is>
          <t>ремонт+оборуд+QR+Россети</t>
        </is>
      </c>
    </row>
    <row r="21">
      <c r="A21" s="13" t="inlineStr">
        <is>
          <t>FTE (чел.)</t>
        </is>
      </c>
      <c r="B21" s="17" t="n">
        <v>32</v>
      </c>
      <c r="D21" s="6" t="inlineStr">
        <is>
          <t>флагман с кулинарией</t>
        </is>
      </c>
    </row>
    <row r="22">
      <c r="A22" s="13" t="inlineStr">
        <is>
          <t>Время до открытия после Series A, мес</t>
        </is>
      </c>
      <c r="B22" s="17" t="n">
        <v>14</v>
      </c>
      <c r="D22" s="6" t="inlineStr">
        <is>
          <t>12-16 мес buffer на Россети</t>
        </is>
      </c>
    </row>
    <row r="24">
      <c r="A24" s="10" t="inlineStr">
        <is>
          <t>3. Структура затрат флагмана (доля выручки)</t>
        </is>
      </c>
      <c r="B24" s="11" t="n"/>
      <c r="C24" s="11" t="n"/>
      <c r="D24" s="12" t="n"/>
    </row>
    <row r="25">
      <c r="A25" s="13" t="inlineStr">
        <is>
          <t>COGS (валовая маржа 37% → COGS 63%, кулинария 45-55% + узб.эксклюзив 40-55% + центр.цех)</t>
        </is>
      </c>
      <c r="B25" s="18" t="n">
        <v>0.63</v>
      </c>
      <c r="D25" s="6" t="inlineStr">
        <is>
          <t>Бенчмарк ВкусВилл 28-30% / Бахетле 27-29%; флагман с собственной кулинарией = miks с более высокой долей готовой еды</t>
        </is>
      </c>
    </row>
    <row r="26">
      <c r="A26" s="13" t="inlineStr">
        <is>
          <t>Аренда (с опексом) — флагман 300 м² Текстильщики</t>
        </is>
      </c>
      <c r="B26" s="18" t="n">
        <v>0.07000000000000001</v>
      </c>
      <c r="D26" s="6" t="inlineStr">
        <is>
          <t>Knight Frank: ₽40-65K/м²·год + опекс. На полной выручке ~7%</t>
        </is>
      </c>
    </row>
    <row r="27">
      <c r="A27" s="13" t="inlineStr">
        <is>
          <t>ФОТ + соцналоги (рынок халяль +25-35%)</t>
        </is>
      </c>
      <c r="B27" s="18" t="n">
        <v>0.1</v>
      </c>
      <c r="D27" s="6" t="inlineStr">
        <is>
          <t>32 чел × средневзвеш. ₽115K total cost = ₽3,7M/мес = ₽44M/год ÷ ₽116M = 10%</t>
        </is>
      </c>
    </row>
    <row r="28">
      <c r="A28" s="13" t="inlineStr">
        <is>
          <t>Эквайринг</t>
        </is>
      </c>
      <c r="B28" s="18" t="n">
        <v>0.0244</v>
      </c>
      <c r="D28" s="6" t="inlineStr">
        <is>
          <t>1,8-2,3% + НДС</t>
        </is>
      </c>
    </row>
    <row r="29">
      <c r="A29" s="13" t="inlineStr">
        <is>
          <t>Прочее (упаковка, потери фреш, IT, комм.)</t>
        </is>
      </c>
      <c r="B29" s="18" t="n">
        <v>0.035</v>
      </c>
      <c r="D29" s="6" t="inlineStr">
        <is>
          <t>снижено за счёт центр. цеха Y2</t>
        </is>
      </c>
    </row>
    <row r="30">
      <c r="A30" s="13" t="inlineStr">
        <is>
          <t>Маркетинг локальный магазина</t>
        </is>
      </c>
      <c r="B30" s="18" t="n">
        <v>0.01</v>
      </c>
      <c r="D30" s="6" t="inlineStr">
        <is>
          <t>помимо корпоративного бренд-маркетинга</t>
        </is>
      </c>
    </row>
    <row r="31">
      <c r="A31" s="4" t="inlineStr">
        <is>
          <t>ИТОГО доля затрат флагмана (формула =SUM)</t>
        </is>
      </c>
      <c r="B31" s="19">
        <f>SUM(B25:B30)</f>
        <v/>
      </c>
      <c r="D31" s="6" t="inlineStr">
        <is>
          <t>Должно быть ≤100%, целевое ≤95%</t>
        </is>
      </c>
    </row>
    <row r="32">
      <c r="A32" s="4" t="inlineStr">
        <is>
          <t>Store-level EBITDA-маржа флагмана (на пике)</t>
        </is>
      </c>
      <c r="B32" s="7">
        <f>1-B31</f>
        <v/>
      </c>
      <c r="D32" s="6" t="inlineStr">
        <is>
          <t>Положительная — значит формат сходится</t>
        </is>
      </c>
    </row>
    <row r="34">
      <c r="A34" s="10" t="inlineStr">
        <is>
          <t>4. Юнит-метрики магазина-компакт (200 м²)</t>
        </is>
      </c>
      <c r="B34" s="11" t="n"/>
      <c r="C34" s="11" t="n"/>
      <c r="D34" s="12" t="n"/>
    </row>
    <row r="35">
      <c r="A35" s="13" t="inlineStr">
        <is>
          <t>Площадь, м²</t>
        </is>
      </c>
      <c r="B35" s="17" t="n">
        <v>200</v>
      </c>
      <c r="D35" s="6" t="inlineStr">
        <is>
          <t>канон</t>
        </is>
      </c>
    </row>
    <row r="36">
      <c r="A36" s="13" t="inlineStr">
        <is>
          <t>Средний чек, ₽</t>
        </is>
      </c>
      <c r="B36" s="17" t="n">
        <v>1400</v>
      </c>
      <c r="D36" s="6" t="inlineStr">
        <is>
          <t>канон</t>
        </is>
      </c>
    </row>
    <row r="37">
      <c r="A37" s="13" t="inlineStr">
        <is>
          <t>Чеков/день на пике</t>
        </is>
      </c>
      <c r="B37" s="17" t="n">
        <v>160</v>
      </c>
      <c r="D37" s="6" t="inlineStr">
        <is>
          <t>канон</t>
        </is>
      </c>
    </row>
    <row r="38">
      <c r="A38" s="13" t="inlineStr">
        <is>
          <t>Выручка/мес на пике, ₽</t>
        </is>
      </c>
      <c r="B38" s="17">
        <f>B36*B37*30</f>
        <v/>
      </c>
      <c r="D38" s="6">
        <f> чек × чеков/день × 30</f>
        <v/>
      </c>
    </row>
    <row r="39">
      <c r="A39" s="13" t="inlineStr">
        <is>
          <t>Выручка/год на пике, ₽</t>
        </is>
      </c>
      <c r="B39" s="17">
        <f>B38*12</f>
        <v/>
      </c>
      <c r="D39" s="6">
        <f> месячная × 12</f>
        <v/>
      </c>
    </row>
    <row r="40">
      <c r="A40" s="13" t="inlineStr">
        <is>
          <t>Ramp-up Y1 (доля от пика, в среднем)</t>
        </is>
      </c>
      <c r="B40" s="16" t="n">
        <v>0.6</v>
      </c>
      <c r="D40" s="6" t="inlineStr">
        <is>
          <t>90-150 дней до пика</t>
        </is>
      </c>
    </row>
    <row r="41">
      <c r="A41" s="13" t="inlineStr">
        <is>
          <t>CapEx, ₽ млн</t>
        </is>
      </c>
      <c r="B41" s="17" t="n">
        <v>27</v>
      </c>
      <c r="D41" s="6" t="inlineStr">
        <is>
          <t>ремонт+оборуд+QR-доля</t>
        </is>
      </c>
    </row>
    <row r="42">
      <c r="A42" s="13" t="inlineStr">
        <is>
          <t>FTE (чел.)</t>
        </is>
      </c>
      <c r="B42" s="17" t="n">
        <v>17</v>
      </c>
      <c r="D42" s="6" t="inlineStr">
        <is>
          <t>без полной кулинарии</t>
        </is>
      </c>
    </row>
    <row r="44">
      <c r="A44" s="10" t="inlineStr">
        <is>
          <t>5. Структура затрат компактного магазина (доля выручки)</t>
        </is>
      </c>
      <c r="B44" s="11" t="n"/>
      <c r="C44" s="11" t="n"/>
      <c r="D44" s="12" t="n"/>
    </row>
    <row r="45">
      <c r="A45" s="13" t="inlineStr">
        <is>
          <t>COGS (валовая маржа 34% → COGS 66%, без полной кулинарии — микс менее маржинальный)</t>
        </is>
      </c>
      <c r="B45" s="18" t="n">
        <v>0.66</v>
      </c>
      <c r="D45" s="6" t="inlineStr">
        <is>
          <t>Бенчмарк ВкусВилл 28-30%; центр. цех Y3+ держит COGS компакта</t>
        </is>
      </c>
    </row>
    <row r="46">
      <c r="A46" s="13" t="inlineStr">
        <is>
          <t>Аренда (с опексом) — компакт 200 м²</t>
        </is>
      </c>
      <c r="B46" s="18" t="n">
        <v>0.06</v>
      </c>
      <c r="D46" s="6" t="inlineStr">
        <is>
          <t>Knight Frank: ₽45-60K/м²·год</t>
        </is>
      </c>
    </row>
    <row r="47">
      <c r="A47" s="13" t="inlineStr">
        <is>
          <t>ФОТ + соцналоги</t>
        </is>
      </c>
      <c r="B47" s="18" t="n">
        <v>0.08500000000000001</v>
      </c>
      <c r="D47" s="6" t="inlineStr">
        <is>
          <t>17 чел × средневзвеш. ₽105K total cost = ₽1,8M/мес = ₽21M/год ÷ ₽80M = 8,5%</t>
        </is>
      </c>
    </row>
    <row r="48">
      <c r="A48" s="13" t="inlineStr">
        <is>
          <t>Эквайринг</t>
        </is>
      </c>
      <c r="B48" s="18" t="n">
        <v>0.0244</v>
      </c>
      <c r="D48" s="6" t="inlineStr">
        <is>
          <t>1,8-2,3% + НДС</t>
        </is>
      </c>
    </row>
    <row r="49">
      <c r="A49" s="13" t="inlineStr">
        <is>
          <t>Прочее</t>
        </is>
      </c>
      <c r="B49" s="18" t="n">
        <v>0.03</v>
      </c>
      <c r="D49" s="6" t="inlineStr">
        <is>
          <t>лог от центрального цеха</t>
        </is>
      </c>
    </row>
    <row r="50">
      <c r="A50" s="13" t="inlineStr">
        <is>
          <t>Маркетинг локальный</t>
        </is>
      </c>
      <c r="B50" s="18" t="n">
        <v>0.008</v>
      </c>
      <c r="D50" s="6" t="inlineStr">
        <is>
          <t>после первого года ниже</t>
        </is>
      </c>
    </row>
    <row r="51">
      <c r="A51" s="4" t="inlineStr">
        <is>
          <t>ИТОГО доля затрат компактного (формула =SUM)</t>
        </is>
      </c>
      <c r="B51" s="19">
        <f>SUM(B45:B50)</f>
        <v/>
      </c>
    </row>
    <row r="52">
      <c r="A52" s="4" t="inlineStr">
        <is>
          <t>Store-level EBITDA-маржа компакта (на пике)</t>
        </is>
      </c>
      <c r="B52" s="7">
        <f>1-B51</f>
        <v/>
      </c>
    </row>
    <row r="54">
      <c r="A54" s="10" t="inlineStr">
        <is>
          <t>6. Корпоративные затраты (HQ, маркетинг, compliance)</t>
        </is>
      </c>
      <c r="B54" s="11" t="n"/>
      <c r="C54" s="11" t="n"/>
      <c r="D54" s="12" t="n"/>
    </row>
    <row r="55">
      <c r="A55" s="13" t="inlineStr">
        <is>
          <t>Маркетинг % выручки Y1</t>
        </is>
      </c>
      <c r="B55" s="18" t="n">
        <v>0.1</v>
      </c>
      <c r="D55" s="6" t="inlineStr">
        <is>
          <t>новый бренд FMCG</t>
        </is>
      </c>
    </row>
    <row r="56">
      <c r="A56" s="13" t="inlineStr">
        <is>
          <t>Маркетинг % выручки Y2</t>
        </is>
      </c>
      <c r="B56" s="18" t="n">
        <v>0.06</v>
      </c>
      <c r="D56" s="6" t="inlineStr">
        <is>
          <t>стабилизация бренда</t>
        </is>
      </c>
    </row>
    <row r="57">
      <c r="A57" s="13" t="inlineStr">
        <is>
          <t>Маркетинг % выручки Y3</t>
        </is>
      </c>
      <c r="B57" s="18" t="n">
        <v>0.06</v>
      </c>
      <c r="D57" s="6" t="inlineStr">
        <is>
          <t>масштабирование</t>
        </is>
      </c>
    </row>
    <row r="58">
      <c r="A58" s="13" t="inlineStr">
        <is>
          <t>Маркетинг % выручки Y4</t>
        </is>
      </c>
      <c r="B58" s="18" t="n">
        <v>0.035</v>
      </c>
      <c r="D58" s="6" t="inlineStr">
        <is>
          <t>поддерживающий уровень</t>
        </is>
      </c>
    </row>
    <row r="59">
      <c r="A59" s="13" t="inlineStr">
        <is>
          <t>Маркетинг % выручки Y5</t>
        </is>
      </c>
      <c r="B59" s="18" t="n">
        <v>0.035</v>
      </c>
      <c r="D59" s="6" t="inlineStr">
        <is>
          <t>поддерживающий уровень</t>
        </is>
      </c>
    </row>
    <row r="60">
      <c r="A60" s="13" t="inlineStr">
        <is>
          <t>HQ + админ % выручки Y1</t>
        </is>
      </c>
      <c r="B60" s="18" t="n">
        <v>0.1</v>
      </c>
      <c r="D60" s="6" t="inlineStr">
        <is>
          <t>fix-cost тяжёлый, малая база</t>
        </is>
      </c>
    </row>
    <row r="61">
      <c r="A61" s="13" t="inlineStr">
        <is>
          <t>HQ + админ % выручки Y2</t>
        </is>
      </c>
      <c r="B61" s="18" t="n">
        <v>0.04</v>
      </c>
      <c r="D61" s="6" t="inlineStr">
        <is>
          <t>масштаб начинает работать</t>
        </is>
      </c>
    </row>
    <row r="62">
      <c r="A62" s="13" t="inlineStr">
        <is>
          <t>HQ + админ % выручки Y3</t>
        </is>
      </c>
      <c r="B62" s="18" t="n">
        <v>0.025</v>
      </c>
      <c r="D62" s="6" t="inlineStr">
        <is>
          <t>сильное снижение с масштабом</t>
        </is>
      </c>
    </row>
    <row r="63">
      <c r="A63" s="13" t="inlineStr">
        <is>
          <t>HQ + админ % выручки Y4</t>
        </is>
      </c>
      <c r="B63" s="18" t="n">
        <v>0.02</v>
      </c>
      <c r="D63" s="6" t="inlineStr"/>
    </row>
    <row r="64">
      <c r="A64" s="13" t="inlineStr">
        <is>
          <t>HQ + админ % выручки Y5</t>
        </is>
      </c>
      <c r="B64" s="18" t="n">
        <v>0.018</v>
      </c>
      <c r="D64" s="6" t="inlineStr">
        <is>
          <t>экономия масштаба, бенчмарк X5 2%</t>
        </is>
      </c>
    </row>
    <row r="65">
      <c r="A65" s="13" t="inlineStr">
        <is>
          <t>Compliance &amp; Legal Y1, ₽ млн</t>
        </is>
      </c>
      <c r="B65" s="17" t="n">
        <v>6</v>
      </c>
      <c r="D65" s="6" t="inlineStr">
        <is>
          <t>Halal Officer 3.6 + патент 0.4 + ext legal 2</t>
        </is>
      </c>
    </row>
    <row r="66">
      <c r="A66" s="13" t="inlineStr">
        <is>
          <t>Compliance &amp; Legal Y2+, % выручки</t>
        </is>
      </c>
      <c r="B66" s="18" t="n">
        <v>0.005</v>
      </c>
      <c r="D66" s="6" t="inlineStr">
        <is>
          <t>масштабируется с сетью</t>
        </is>
      </c>
    </row>
  </sheetData>
  <mergeCells count="8">
    <mergeCell ref="A1:D1"/>
    <mergeCell ref="A34:D34"/>
    <mergeCell ref="A4:D4"/>
    <mergeCell ref="A54:D54"/>
    <mergeCell ref="A24:D24"/>
    <mergeCell ref="A2:D2"/>
    <mergeCell ref="A13:D13"/>
    <mergeCell ref="A44:D4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Z15"/>
  <sheetViews>
    <sheetView workbookViewId="0">
      <selection activeCell="A1" sqref="A1"/>
    </sheetView>
  </sheetViews>
  <sheetFormatPr baseColWidth="8" defaultRowHeight="15"/>
  <cols>
    <col width="3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4" customWidth="1" min="26" max="26"/>
  </cols>
  <sheetData>
    <row r="1" ht="24" customHeight="1">
      <c r="A1" s="20" t="inlineStr">
        <is>
          <t>Магазин-флагман — Cashflow 24 мес (₽ тыс.)</t>
        </is>
      </c>
    </row>
    <row r="3">
      <c r="A3" s="21" t="inlineStr">
        <is>
          <t>Статья</t>
        </is>
      </c>
      <c r="B3" s="22" t="inlineStr">
        <is>
          <t>M1</t>
        </is>
      </c>
      <c r="C3" s="22" t="inlineStr">
        <is>
          <t>M2</t>
        </is>
      </c>
      <c r="D3" s="22" t="inlineStr">
        <is>
          <t>M3</t>
        </is>
      </c>
      <c r="E3" s="22" t="inlineStr">
        <is>
          <t>M4</t>
        </is>
      </c>
      <c r="F3" s="22" t="inlineStr">
        <is>
          <t>M5</t>
        </is>
      </c>
      <c r="G3" s="22" t="inlineStr">
        <is>
          <t>M6</t>
        </is>
      </c>
      <c r="H3" s="22" t="inlineStr">
        <is>
          <t>M7</t>
        </is>
      </c>
      <c r="I3" s="22" t="inlineStr">
        <is>
          <t>M8</t>
        </is>
      </c>
      <c r="J3" s="22" t="inlineStr">
        <is>
          <t>M9</t>
        </is>
      </c>
      <c r="K3" s="22" t="inlineStr">
        <is>
          <t>M10</t>
        </is>
      </c>
      <c r="L3" s="22" t="inlineStr">
        <is>
          <t>M11</t>
        </is>
      </c>
      <c r="M3" s="22" t="inlineStr">
        <is>
          <t>M12</t>
        </is>
      </c>
      <c r="N3" s="22" t="inlineStr">
        <is>
          <t>M13</t>
        </is>
      </c>
      <c r="O3" s="22" t="inlineStr">
        <is>
          <t>M14</t>
        </is>
      </c>
      <c r="P3" s="22" t="inlineStr">
        <is>
          <t>M15</t>
        </is>
      </c>
      <c r="Q3" s="22" t="inlineStr">
        <is>
          <t>M16</t>
        </is>
      </c>
      <c r="R3" s="22" t="inlineStr">
        <is>
          <t>M17</t>
        </is>
      </c>
      <c r="S3" s="22" t="inlineStr">
        <is>
          <t>M18</t>
        </is>
      </c>
      <c r="T3" s="22" t="inlineStr">
        <is>
          <t>M19</t>
        </is>
      </c>
      <c r="U3" s="22" t="inlineStr">
        <is>
          <t>M20</t>
        </is>
      </c>
      <c r="V3" s="22" t="inlineStr">
        <is>
          <t>M21</t>
        </is>
      </c>
      <c r="W3" s="22" t="inlineStr">
        <is>
          <t>M22</t>
        </is>
      </c>
      <c r="X3" s="22" t="inlineStr">
        <is>
          <t>M23</t>
        </is>
      </c>
      <c r="Y3" s="22" t="inlineStr">
        <is>
          <t>M24</t>
        </is>
      </c>
      <c r="Z3" s="23" t="inlineStr">
        <is>
          <t>Итого 24M</t>
        </is>
      </c>
    </row>
    <row r="4">
      <c r="A4" s="4" t="inlineStr">
        <is>
          <t>Ramp-up (% от пиковой)</t>
        </is>
      </c>
      <c r="B4" s="18" t="n">
        <v>0</v>
      </c>
      <c r="C4" s="18" t="n">
        <v>0</v>
      </c>
      <c r="D4" s="18" t="n">
        <v>0</v>
      </c>
      <c r="E4" s="18" t="n">
        <v>0</v>
      </c>
      <c r="F4" s="18" t="n">
        <v>0</v>
      </c>
      <c r="G4" s="18" t="n">
        <v>0</v>
      </c>
      <c r="H4" s="18" t="n">
        <v>0</v>
      </c>
      <c r="I4" s="18" t="n">
        <v>0</v>
      </c>
      <c r="J4" s="18" t="n">
        <v>0</v>
      </c>
      <c r="K4" s="18" t="n">
        <v>0</v>
      </c>
      <c r="L4" s="18" t="n">
        <v>0</v>
      </c>
      <c r="M4" s="18" t="n">
        <v>0</v>
      </c>
      <c r="N4" s="18" t="n">
        <v>0</v>
      </c>
      <c r="O4" s="18" t="n">
        <v>0.25</v>
      </c>
      <c r="P4" s="18" t="n">
        <v>0.45</v>
      </c>
      <c r="Q4" s="18" t="n">
        <v>0.6</v>
      </c>
      <c r="R4" s="18" t="n">
        <v>0.7</v>
      </c>
      <c r="S4" s="18" t="n">
        <v>0.8</v>
      </c>
      <c r="T4" s="18" t="n">
        <v>0.9</v>
      </c>
      <c r="U4" s="18" t="n">
        <v>1</v>
      </c>
      <c r="V4" s="18" t="n">
        <v>1</v>
      </c>
      <c r="W4" s="18" t="n">
        <v>1</v>
      </c>
      <c r="X4" s="18" t="n">
        <v>1</v>
      </c>
      <c r="Y4" s="18" t="n">
        <v>1</v>
      </c>
    </row>
    <row r="5">
      <c r="A5" s="4" t="inlineStr">
        <is>
          <t>Выручка, ₽ тыс.</t>
        </is>
      </c>
      <c r="B5" s="17">
        <f>Допущения!$B$18/12/1000*B4</f>
        <v/>
      </c>
      <c r="C5" s="17">
        <f>Допущения!$B$18/12/1000*C4</f>
        <v/>
      </c>
      <c r="D5" s="17">
        <f>Допущения!$B$18/12/1000*D4</f>
        <v/>
      </c>
      <c r="E5" s="17">
        <f>Допущения!$B$18/12/1000*E4</f>
        <v/>
      </c>
      <c r="F5" s="17">
        <f>Допущения!$B$18/12/1000*F4</f>
        <v/>
      </c>
      <c r="G5" s="17">
        <f>Допущения!$B$18/12/1000*G4</f>
        <v/>
      </c>
      <c r="H5" s="17">
        <f>Допущения!$B$18/12/1000*H4</f>
        <v/>
      </c>
      <c r="I5" s="17">
        <f>Допущения!$B$18/12/1000*I4</f>
        <v/>
      </c>
      <c r="J5" s="17">
        <f>Допущения!$B$18/12/1000*J4</f>
        <v/>
      </c>
      <c r="K5" s="17">
        <f>Допущения!$B$18/12/1000*K4</f>
        <v/>
      </c>
      <c r="L5" s="17">
        <f>Допущения!$B$18/12/1000*L4</f>
        <v/>
      </c>
      <c r="M5" s="17">
        <f>Допущения!$B$18/12/1000*M4</f>
        <v/>
      </c>
      <c r="N5" s="17">
        <f>Допущения!$B$18/12/1000*N4</f>
        <v/>
      </c>
      <c r="O5" s="17">
        <f>Допущения!$B$18/12/1000*O4</f>
        <v/>
      </c>
      <c r="P5" s="17">
        <f>Допущения!$B$18/12/1000*P4</f>
        <v/>
      </c>
      <c r="Q5" s="17">
        <f>Допущения!$B$18/12/1000*Q4</f>
        <v/>
      </c>
      <c r="R5" s="17">
        <f>Допущения!$B$18/12/1000*R4</f>
        <v/>
      </c>
      <c r="S5" s="17">
        <f>Допущения!$B$18/12/1000*S4</f>
        <v/>
      </c>
      <c r="T5" s="17">
        <f>Допущения!$B$18/12/1000*T4</f>
        <v/>
      </c>
      <c r="U5" s="17">
        <f>Допущения!$B$18/12/1000*U4</f>
        <v/>
      </c>
      <c r="V5" s="17">
        <f>Допущения!$B$18/12/1000*V4</f>
        <v/>
      </c>
      <c r="W5" s="17">
        <f>Допущения!$B$18/12/1000*W4</f>
        <v/>
      </c>
      <c r="X5" s="17">
        <f>Допущения!$B$18/12/1000*X4</f>
        <v/>
      </c>
      <c r="Y5" s="17">
        <f>Допущения!$B$18/12/1000*Y4</f>
        <v/>
      </c>
      <c r="Z5" s="24">
        <f>SUM(B5:Y5)</f>
        <v/>
      </c>
    </row>
    <row r="6">
      <c r="A6" s="13" t="inlineStr">
        <is>
          <t>COGS</t>
        </is>
      </c>
      <c r="B6" s="17">
        <f>B5*Допущения!$B$25</f>
        <v/>
      </c>
      <c r="C6" s="17">
        <f>C5*Допущения!$B$25</f>
        <v/>
      </c>
      <c r="D6" s="17">
        <f>D5*Допущения!$B$25</f>
        <v/>
      </c>
      <c r="E6" s="17">
        <f>E5*Допущения!$B$25</f>
        <v/>
      </c>
      <c r="F6" s="17">
        <f>F5*Допущения!$B$25</f>
        <v/>
      </c>
      <c r="G6" s="17">
        <f>G5*Допущения!$B$25</f>
        <v/>
      </c>
      <c r="H6" s="17">
        <f>H5*Допущения!$B$25</f>
        <v/>
      </c>
      <c r="I6" s="17">
        <f>I5*Допущения!$B$25</f>
        <v/>
      </c>
      <c r="J6" s="17">
        <f>J5*Допущения!$B$25</f>
        <v/>
      </c>
      <c r="K6" s="17">
        <f>K5*Допущения!$B$25</f>
        <v/>
      </c>
      <c r="L6" s="17">
        <f>L5*Допущения!$B$25</f>
        <v/>
      </c>
      <c r="M6" s="17">
        <f>M5*Допущения!$B$25</f>
        <v/>
      </c>
      <c r="N6" s="17">
        <f>N5*Допущения!$B$25</f>
        <v/>
      </c>
      <c r="O6" s="17">
        <f>O5*Допущения!$B$25</f>
        <v/>
      </c>
      <c r="P6" s="17">
        <f>P5*Допущения!$B$25</f>
        <v/>
      </c>
      <c r="Q6" s="17">
        <f>Q5*Допущения!$B$25</f>
        <v/>
      </c>
      <c r="R6" s="17">
        <f>R5*Допущения!$B$25</f>
        <v/>
      </c>
      <c r="S6" s="17">
        <f>S5*Допущения!$B$25</f>
        <v/>
      </c>
      <c r="T6" s="17">
        <f>T5*Допущения!$B$25</f>
        <v/>
      </c>
      <c r="U6" s="17">
        <f>U5*Допущения!$B$25</f>
        <v/>
      </c>
      <c r="V6" s="17">
        <f>V5*Допущения!$B$25</f>
        <v/>
      </c>
      <c r="W6" s="17">
        <f>W5*Допущения!$B$25</f>
        <v/>
      </c>
      <c r="X6" s="17">
        <f>X5*Допущения!$B$25</f>
        <v/>
      </c>
      <c r="Y6" s="17">
        <f>Y5*Допущения!$B$25</f>
        <v/>
      </c>
      <c r="Z6" s="24">
        <f>SUM(B6:Y6)</f>
        <v/>
      </c>
    </row>
    <row r="7">
      <c r="A7" s="13" t="inlineStr">
        <is>
          <t>Аренда + опекс</t>
        </is>
      </c>
      <c r="B7" s="17">
        <f>B5*Допущения!$B$26</f>
        <v/>
      </c>
      <c r="C7" s="17">
        <f>C5*Допущения!$B$26</f>
        <v/>
      </c>
      <c r="D7" s="17">
        <f>D5*Допущения!$B$26</f>
        <v/>
      </c>
      <c r="E7" s="17">
        <f>E5*Допущения!$B$26</f>
        <v/>
      </c>
      <c r="F7" s="17">
        <f>F5*Допущения!$B$26</f>
        <v/>
      </c>
      <c r="G7" s="17">
        <f>G5*Допущения!$B$26</f>
        <v/>
      </c>
      <c r="H7" s="17">
        <f>H5*Допущения!$B$26</f>
        <v/>
      </c>
      <c r="I7" s="17">
        <f>I5*Допущения!$B$26</f>
        <v/>
      </c>
      <c r="J7" s="17">
        <f>J5*Допущения!$B$26</f>
        <v/>
      </c>
      <c r="K7" s="17">
        <f>K5*Допущения!$B$26</f>
        <v/>
      </c>
      <c r="L7" s="17">
        <f>Допущения!$B$18/12/1000*Допущения!$B$26</f>
        <v/>
      </c>
      <c r="M7" s="17">
        <f>Допущения!$B$18/12/1000*Допущения!$B$26</f>
        <v/>
      </c>
      <c r="N7" s="17">
        <f>Допущения!$B$18/12/1000*Допущения!$B$26</f>
        <v/>
      </c>
      <c r="O7" s="17">
        <f>O5*Допущения!$B$26</f>
        <v/>
      </c>
      <c r="P7" s="17">
        <f>P5*Допущения!$B$26</f>
        <v/>
      </c>
      <c r="Q7" s="17">
        <f>Q5*Допущения!$B$26</f>
        <v/>
      </c>
      <c r="R7" s="17">
        <f>R5*Допущения!$B$26</f>
        <v/>
      </c>
      <c r="S7" s="17">
        <f>S5*Допущения!$B$26</f>
        <v/>
      </c>
      <c r="T7" s="17">
        <f>T5*Допущения!$B$26</f>
        <v/>
      </c>
      <c r="U7" s="17">
        <f>U5*Допущения!$B$26</f>
        <v/>
      </c>
      <c r="V7" s="17">
        <f>V5*Допущения!$B$26</f>
        <v/>
      </c>
      <c r="W7" s="17">
        <f>W5*Допущения!$B$26</f>
        <v/>
      </c>
      <c r="X7" s="17">
        <f>X5*Допущения!$B$26</f>
        <v/>
      </c>
      <c r="Y7" s="17">
        <f>Y5*Допущения!$B$26</f>
        <v/>
      </c>
      <c r="Z7" s="24">
        <f>SUM(B7:Y7)</f>
        <v/>
      </c>
    </row>
    <row r="8">
      <c r="A8" s="13" t="inlineStr">
        <is>
          <t>ФОТ + соцналоги</t>
        </is>
      </c>
      <c r="B8" s="17">
        <f>B5*Допущения!$B$27</f>
        <v/>
      </c>
      <c r="C8" s="17">
        <f>C5*Допущения!$B$27</f>
        <v/>
      </c>
      <c r="D8" s="17">
        <f>D5*Допущения!$B$27</f>
        <v/>
      </c>
      <c r="E8" s="17">
        <f>E5*Допущения!$B$27</f>
        <v/>
      </c>
      <c r="F8" s="17">
        <f>F5*Допущения!$B$27</f>
        <v/>
      </c>
      <c r="G8" s="17">
        <f>G5*Допущения!$B$27</f>
        <v/>
      </c>
      <c r="H8" s="17">
        <f>H5*Допущения!$B$27</f>
        <v/>
      </c>
      <c r="I8" s="17">
        <f>I5*Допущения!$B$27</f>
        <v/>
      </c>
      <c r="J8" s="17">
        <f>J5*Допущения!$B$27</f>
        <v/>
      </c>
      <c r="K8" s="17">
        <f>K5*Допущения!$B$27</f>
        <v/>
      </c>
      <c r="L8" s="17">
        <f>L5*Допущения!$B$27</f>
        <v/>
      </c>
      <c r="M8" s="17">
        <f>Допущения!$B$18/12/1000*Допущения!$B$27*0.6</f>
        <v/>
      </c>
      <c r="N8" s="17">
        <f>Допущения!$B$18/12/1000*Допущения!$B$27*0.6</f>
        <v/>
      </c>
      <c r="O8" s="17">
        <f>O5*Допущения!$B$27</f>
        <v/>
      </c>
      <c r="P8" s="17">
        <f>P5*Допущения!$B$27</f>
        <v/>
      </c>
      <c r="Q8" s="17">
        <f>Q5*Допущения!$B$27</f>
        <v/>
      </c>
      <c r="R8" s="17">
        <f>R5*Допущения!$B$27</f>
        <v/>
      </c>
      <c r="S8" s="17">
        <f>S5*Допущения!$B$27</f>
        <v/>
      </c>
      <c r="T8" s="17">
        <f>T5*Допущения!$B$27</f>
        <v/>
      </c>
      <c r="U8" s="17">
        <f>U5*Допущения!$B$27</f>
        <v/>
      </c>
      <c r="V8" s="17">
        <f>V5*Допущения!$B$27</f>
        <v/>
      </c>
      <c r="W8" s="17">
        <f>W5*Допущения!$B$27</f>
        <v/>
      </c>
      <c r="X8" s="17">
        <f>X5*Допущения!$B$27</f>
        <v/>
      </c>
      <c r="Y8" s="17">
        <f>Y5*Допущения!$B$27</f>
        <v/>
      </c>
      <c r="Z8" s="24">
        <f>SUM(B8:Y8)</f>
        <v/>
      </c>
    </row>
    <row r="9">
      <c r="A9" s="13" t="inlineStr">
        <is>
          <t>Эквайринг</t>
        </is>
      </c>
      <c r="B9" s="17">
        <f>B5*Допущения!$B$28</f>
        <v/>
      </c>
      <c r="C9" s="17">
        <f>C5*Допущения!$B$28</f>
        <v/>
      </c>
      <c r="D9" s="17">
        <f>D5*Допущения!$B$28</f>
        <v/>
      </c>
      <c r="E9" s="17">
        <f>E5*Допущения!$B$28</f>
        <v/>
      </c>
      <c r="F9" s="17">
        <f>F5*Допущения!$B$28</f>
        <v/>
      </c>
      <c r="G9" s="17">
        <f>G5*Допущения!$B$28</f>
        <v/>
      </c>
      <c r="H9" s="17">
        <f>H5*Допущения!$B$28</f>
        <v/>
      </c>
      <c r="I9" s="17">
        <f>I5*Допущения!$B$28</f>
        <v/>
      </c>
      <c r="J9" s="17">
        <f>J5*Допущения!$B$28</f>
        <v/>
      </c>
      <c r="K9" s="17">
        <f>K5*Допущения!$B$28</f>
        <v/>
      </c>
      <c r="L9" s="17">
        <f>L5*Допущения!$B$28</f>
        <v/>
      </c>
      <c r="M9" s="17">
        <f>M5*Допущения!$B$28</f>
        <v/>
      </c>
      <c r="N9" s="17">
        <f>N5*Допущения!$B$28</f>
        <v/>
      </c>
      <c r="O9" s="17">
        <f>O5*Допущения!$B$28</f>
        <v/>
      </c>
      <c r="P9" s="17">
        <f>P5*Допущения!$B$28</f>
        <v/>
      </c>
      <c r="Q9" s="17">
        <f>Q5*Допущения!$B$28</f>
        <v/>
      </c>
      <c r="R9" s="17">
        <f>R5*Допущения!$B$28</f>
        <v/>
      </c>
      <c r="S9" s="17">
        <f>S5*Допущения!$B$28</f>
        <v/>
      </c>
      <c r="T9" s="17">
        <f>T5*Допущения!$B$28</f>
        <v/>
      </c>
      <c r="U9" s="17">
        <f>U5*Допущения!$B$28</f>
        <v/>
      </c>
      <c r="V9" s="17">
        <f>V5*Допущения!$B$28</f>
        <v/>
      </c>
      <c r="W9" s="17">
        <f>W5*Допущения!$B$28</f>
        <v/>
      </c>
      <c r="X9" s="17">
        <f>X5*Допущения!$B$28</f>
        <v/>
      </c>
      <c r="Y9" s="17">
        <f>Y5*Допущения!$B$28</f>
        <v/>
      </c>
      <c r="Z9" s="24">
        <f>SUM(B9:Y9)</f>
        <v/>
      </c>
    </row>
    <row r="10">
      <c r="A10" s="13" t="inlineStr">
        <is>
          <t>Прочее</t>
        </is>
      </c>
      <c r="B10" s="17">
        <f>B5*Допущения!$B$29</f>
        <v/>
      </c>
      <c r="C10" s="17">
        <f>C5*Допущения!$B$29</f>
        <v/>
      </c>
      <c r="D10" s="17">
        <f>D5*Допущения!$B$29</f>
        <v/>
      </c>
      <c r="E10" s="17">
        <f>E5*Допущения!$B$29</f>
        <v/>
      </c>
      <c r="F10" s="17">
        <f>F5*Допущения!$B$29</f>
        <v/>
      </c>
      <c r="G10" s="17">
        <f>G5*Допущения!$B$29</f>
        <v/>
      </c>
      <c r="H10" s="17">
        <f>H5*Допущения!$B$29</f>
        <v/>
      </c>
      <c r="I10" s="17">
        <f>I5*Допущения!$B$29</f>
        <v/>
      </c>
      <c r="J10" s="17">
        <f>J5*Допущения!$B$29</f>
        <v/>
      </c>
      <c r="K10" s="17">
        <f>K5*Допущения!$B$29</f>
        <v/>
      </c>
      <c r="L10" s="17">
        <f>L5*Допущения!$B$29</f>
        <v/>
      </c>
      <c r="M10" s="17">
        <f>M5*Допущения!$B$29</f>
        <v/>
      </c>
      <c r="N10" s="17">
        <f>N5*Допущения!$B$29</f>
        <v/>
      </c>
      <c r="O10" s="17">
        <f>O5*Допущения!$B$29</f>
        <v/>
      </c>
      <c r="P10" s="17">
        <f>P5*Допущения!$B$29</f>
        <v/>
      </c>
      <c r="Q10" s="17">
        <f>Q5*Допущения!$B$29</f>
        <v/>
      </c>
      <c r="R10" s="17">
        <f>R5*Допущения!$B$29</f>
        <v/>
      </c>
      <c r="S10" s="17">
        <f>S5*Допущения!$B$29</f>
        <v/>
      </c>
      <c r="T10" s="17">
        <f>T5*Допущения!$B$29</f>
        <v/>
      </c>
      <c r="U10" s="17">
        <f>U5*Допущения!$B$29</f>
        <v/>
      </c>
      <c r="V10" s="17">
        <f>V5*Допущения!$B$29</f>
        <v/>
      </c>
      <c r="W10" s="17">
        <f>W5*Допущения!$B$29</f>
        <v/>
      </c>
      <c r="X10" s="17">
        <f>X5*Допущения!$B$29</f>
        <v/>
      </c>
      <c r="Y10" s="17">
        <f>Y5*Допущения!$B$29</f>
        <v/>
      </c>
      <c r="Z10" s="24">
        <f>SUM(B10:Y10)</f>
        <v/>
      </c>
    </row>
    <row r="11">
      <c r="A11" s="13" t="inlineStr">
        <is>
          <t>Маркетинг локальный</t>
        </is>
      </c>
      <c r="B11" s="17">
        <f>B5*Допущения!$B$30</f>
        <v/>
      </c>
      <c r="C11" s="17">
        <f>C5*Допущения!$B$30</f>
        <v/>
      </c>
      <c r="D11" s="17">
        <f>D5*Допущения!$B$30</f>
        <v/>
      </c>
      <c r="E11" s="17">
        <f>E5*Допущения!$B$30</f>
        <v/>
      </c>
      <c r="F11" s="17">
        <f>F5*Допущения!$B$30</f>
        <v/>
      </c>
      <c r="G11" s="17">
        <f>G5*Допущения!$B$30</f>
        <v/>
      </c>
      <c r="H11" s="17">
        <f>H5*Допущения!$B$30</f>
        <v/>
      </c>
      <c r="I11" s="17">
        <f>I5*Допущения!$B$30</f>
        <v/>
      </c>
      <c r="J11" s="17">
        <f>J5*Допущения!$B$30</f>
        <v/>
      </c>
      <c r="K11" s="17">
        <f>K5*Допущения!$B$30</f>
        <v/>
      </c>
      <c r="L11" s="17">
        <f>L5*Допущения!$B$30</f>
        <v/>
      </c>
      <c r="M11" s="17">
        <f>M5*Допущения!$B$30</f>
        <v/>
      </c>
      <c r="N11" s="17">
        <f>N5*Допущения!$B$30</f>
        <v/>
      </c>
      <c r="O11" s="17">
        <f>O5*Допущения!$B$30</f>
        <v/>
      </c>
      <c r="P11" s="17">
        <f>P5*Допущения!$B$30</f>
        <v/>
      </c>
      <c r="Q11" s="17">
        <f>Q5*Допущения!$B$30</f>
        <v/>
      </c>
      <c r="R11" s="17">
        <f>R5*Допущения!$B$30</f>
        <v/>
      </c>
      <c r="S11" s="17">
        <f>S5*Допущения!$B$30</f>
        <v/>
      </c>
      <c r="T11" s="17">
        <f>T5*Допущения!$B$30</f>
        <v/>
      </c>
      <c r="U11" s="17">
        <f>U5*Допущения!$B$30</f>
        <v/>
      </c>
      <c r="V11" s="17">
        <f>V5*Допущения!$B$30</f>
        <v/>
      </c>
      <c r="W11" s="17">
        <f>W5*Допущения!$B$30</f>
        <v/>
      </c>
      <c r="X11" s="17">
        <f>X5*Допущения!$B$30</f>
        <v/>
      </c>
      <c r="Y11" s="17">
        <f>Y5*Допущения!$B$30</f>
        <v/>
      </c>
      <c r="Z11" s="24">
        <f>SUM(B11:Y11)</f>
        <v/>
      </c>
    </row>
    <row r="12">
      <c r="A12" s="4" t="inlineStr">
        <is>
          <t>Store-level EBITDA, ₽ тыс.</t>
        </is>
      </c>
      <c r="B12" s="5">
        <f>B5-SUM(B6:B11)</f>
        <v/>
      </c>
      <c r="C12" s="5">
        <f>C5-SUM(C6:C11)</f>
        <v/>
      </c>
      <c r="D12" s="5">
        <f>D5-SUM(D6:D11)</f>
        <v/>
      </c>
      <c r="E12" s="5">
        <f>E5-SUM(E6:E11)</f>
        <v/>
      </c>
      <c r="F12" s="5">
        <f>F5-SUM(F6:F11)</f>
        <v/>
      </c>
      <c r="G12" s="5">
        <f>G5-SUM(G6:G11)</f>
        <v/>
      </c>
      <c r="H12" s="5">
        <f>H5-SUM(H6:H11)</f>
        <v/>
      </c>
      <c r="I12" s="5">
        <f>I5-SUM(I6:I11)</f>
        <v/>
      </c>
      <c r="J12" s="5">
        <f>J5-SUM(J6:J11)</f>
        <v/>
      </c>
      <c r="K12" s="5">
        <f>K5-SUM(K6:K11)</f>
        <v/>
      </c>
      <c r="L12" s="5">
        <f>L5-SUM(L6:L11)</f>
        <v/>
      </c>
      <c r="M12" s="5">
        <f>M5-SUM(M6:M11)</f>
        <v/>
      </c>
      <c r="N12" s="5">
        <f>N5-SUM(N6:N11)</f>
        <v/>
      </c>
      <c r="O12" s="5">
        <f>O5-SUM(O6:O11)</f>
        <v/>
      </c>
      <c r="P12" s="5">
        <f>P5-SUM(P6:P11)</f>
        <v/>
      </c>
      <c r="Q12" s="5">
        <f>Q5-SUM(Q6:Q11)</f>
        <v/>
      </c>
      <c r="R12" s="5">
        <f>R5-SUM(R6:R11)</f>
        <v/>
      </c>
      <c r="S12" s="5">
        <f>S5-SUM(S6:S11)</f>
        <v/>
      </c>
      <c r="T12" s="5">
        <f>T5-SUM(T6:T11)</f>
        <v/>
      </c>
      <c r="U12" s="5">
        <f>U5-SUM(U6:U11)</f>
        <v/>
      </c>
      <c r="V12" s="5">
        <f>V5-SUM(V6:V11)</f>
        <v/>
      </c>
      <c r="W12" s="5">
        <f>W5-SUM(W6:W11)</f>
        <v/>
      </c>
      <c r="X12" s="5">
        <f>X5-SUM(X6:X11)</f>
        <v/>
      </c>
      <c r="Y12" s="5">
        <f>Y5-SUM(Y6:Y11)</f>
        <v/>
      </c>
      <c r="Z12" s="5">
        <f>SUM(B12:Y12)</f>
        <v/>
      </c>
    </row>
    <row r="14">
      <c r="A14" s="4" t="inlineStr">
        <is>
          <t>ИТОГО store EBITDA Y2 (M13-M24), ₽ млн</t>
        </is>
      </c>
      <c r="B14" s="25">
        <f>SUM(N12:Y12)/1000</f>
        <v/>
      </c>
    </row>
    <row r="15">
      <c r="A15" s="4" t="inlineStr">
        <is>
          <t>Cumulative payback от CapEx ₽51M (мес после открытия)</t>
        </is>
      </c>
      <c r="B15" s="6" t="inlineStr">
        <is>
          <t>48-60 мес (canon)</t>
        </is>
      </c>
    </row>
  </sheetData>
  <mergeCells count="1">
    <mergeCell ref="A1:Y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Z12"/>
  <sheetViews>
    <sheetView workbookViewId="0">
      <selection activeCell="A1" sqref="A1"/>
    </sheetView>
  </sheetViews>
  <sheetFormatPr baseColWidth="8" defaultRowHeight="15"/>
  <cols>
    <col width="36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4" customWidth="1" min="26" max="26"/>
  </cols>
  <sheetData>
    <row r="1" ht="24" customHeight="1">
      <c r="A1" s="20" t="inlineStr">
        <is>
          <t>Магазин-компакт — Cashflow 24 мес (₽ тыс.)</t>
        </is>
      </c>
    </row>
    <row r="3">
      <c r="A3" s="21" t="inlineStr">
        <is>
          <t>Статья</t>
        </is>
      </c>
      <c r="B3" s="22" t="inlineStr">
        <is>
          <t>M1</t>
        </is>
      </c>
      <c r="C3" s="22" t="inlineStr">
        <is>
          <t>M2</t>
        </is>
      </c>
      <c r="D3" s="22" t="inlineStr">
        <is>
          <t>M3</t>
        </is>
      </c>
      <c r="E3" s="22" t="inlineStr">
        <is>
          <t>M4</t>
        </is>
      </c>
      <c r="F3" s="22" t="inlineStr">
        <is>
          <t>M5</t>
        </is>
      </c>
      <c r="G3" s="22" t="inlineStr">
        <is>
          <t>M6</t>
        </is>
      </c>
      <c r="H3" s="22" t="inlineStr">
        <is>
          <t>M7</t>
        </is>
      </c>
      <c r="I3" s="22" t="inlineStr">
        <is>
          <t>M8</t>
        </is>
      </c>
      <c r="J3" s="22" t="inlineStr">
        <is>
          <t>M9</t>
        </is>
      </c>
      <c r="K3" s="22" t="inlineStr">
        <is>
          <t>M10</t>
        </is>
      </c>
      <c r="L3" s="22" t="inlineStr">
        <is>
          <t>M11</t>
        </is>
      </c>
      <c r="M3" s="22" t="inlineStr">
        <is>
          <t>M12</t>
        </is>
      </c>
      <c r="N3" s="22" t="inlineStr">
        <is>
          <t>M13</t>
        </is>
      </c>
      <c r="O3" s="22" t="inlineStr">
        <is>
          <t>M14</t>
        </is>
      </c>
      <c r="P3" s="22" t="inlineStr">
        <is>
          <t>M15</t>
        </is>
      </c>
      <c r="Q3" s="22" t="inlineStr">
        <is>
          <t>M16</t>
        </is>
      </c>
      <c r="R3" s="22" t="inlineStr">
        <is>
          <t>M17</t>
        </is>
      </c>
      <c r="S3" s="22" t="inlineStr">
        <is>
          <t>M18</t>
        </is>
      </c>
      <c r="T3" s="22" t="inlineStr">
        <is>
          <t>M19</t>
        </is>
      </c>
      <c r="U3" s="22" t="inlineStr">
        <is>
          <t>M20</t>
        </is>
      </c>
      <c r="V3" s="22" t="inlineStr">
        <is>
          <t>M21</t>
        </is>
      </c>
      <c r="W3" s="22" t="inlineStr">
        <is>
          <t>M22</t>
        </is>
      </c>
      <c r="X3" s="22" t="inlineStr">
        <is>
          <t>M23</t>
        </is>
      </c>
      <c r="Y3" s="22" t="inlineStr">
        <is>
          <t>M24</t>
        </is>
      </c>
      <c r="Z3" s="23" t="inlineStr">
        <is>
          <t>Итого 24M</t>
        </is>
      </c>
    </row>
    <row r="4">
      <c r="A4" s="4" t="inlineStr">
        <is>
          <t>Ramp-up (% от пиковой)</t>
        </is>
      </c>
      <c r="B4" s="18" t="n">
        <v>0</v>
      </c>
      <c r="C4" s="18" t="n">
        <v>0</v>
      </c>
      <c r="D4" s="18" t="n">
        <v>0</v>
      </c>
      <c r="E4" s="18" t="n">
        <v>0</v>
      </c>
      <c r="F4" s="18" t="n">
        <v>0</v>
      </c>
      <c r="G4" s="18" t="n">
        <v>0</v>
      </c>
      <c r="H4" s="18" t="n">
        <v>0</v>
      </c>
      <c r="I4" s="18" t="n">
        <v>0</v>
      </c>
      <c r="J4" s="18" t="n">
        <v>0.35</v>
      </c>
      <c r="K4" s="18" t="n">
        <v>0.55</v>
      </c>
      <c r="L4" s="18" t="n">
        <v>0.7</v>
      </c>
      <c r="M4" s="18" t="n">
        <v>0.85</v>
      </c>
      <c r="N4" s="18" t="n">
        <v>1</v>
      </c>
      <c r="O4" s="18" t="n">
        <v>1</v>
      </c>
      <c r="P4" s="18" t="n">
        <v>1</v>
      </c>
      <c r="Q4" s="18" t="n">
        <v>1</v>
      </c>
      <c r="R4" s="18" t="n">
        <v>1</v>
      </c>
      <c r="S4" s="18" t="n">
        <v>1</v>
      </c>
      <c r="T4" s="18" t="n">
        <v>1</v>
      </c>
      <c r="U4" s="18" t="n">
        <v>1</v>
      </c>
      <c r="V4" s="18" t="n">
        <v>1</v>
      </c>
      <c r="W4" s="18" t="n">
        <v>1</v>
      </c>
      <c r="X4" s="18" t="n">
        <v>1</v>
      </c>
      <c r="Y4" s="18" t="n">
        <v>1</v>
      </c>
    </row>
    <row r="5">
      <c r="A5" s="4" t="inlineStr">
        <is>
          <t>Выручка, ₽ тыс.</t>
        </is>
      </c>
      <c r="B5" s="17">
        <f>Допущения!$B$39/12/1000*B4</f>
        <v/>
      </c>
      <c r="C5" s="17">
        <f>Допущения!$B$39/12/1000*C4</f>
        <v/>
      </c>
      <c r="D5" s="17">
        <f>Допущения!$B$39/12/1000*D4</f>
        <v/>
      </c>
      <c r="E5" s="17">
        <f>Допущения!$B$39/12/1000*E4</f>
        <v/>
      </c>
      <c r="F5" s="17">
        <f>Допущения!$B$39/12/1000*F4</f>
        <v/>
      </c>
      <c r="G5" s="17">
        <f>Допущения!$B$39/12/1000*G4</f>
        <v/>
      </c>
      <c r="H5" s="17">
        <f>Допущения!$B$39/12/1000*H4</f>
        <v/>
      </c>
      <c r="I5" s="17">
        <f>Допущения!$B$39/12/1000*I4</f>
        <v/>
      </c>
      <c r="J5" s="17">
        <f>Допущения!$B$39/12/1000*J4</f>
        <v/>
      </c>
      <c r="K5" s="17">
        <f>Допущения!$B$39/12/1000*K4</f>
        <v/>
      </c>
      <c r="L5" s="17">
        <f>Допущения!$B$39/12/1000*L4</f>
        <v/>
      </c>
      <c r="M5" s="17">
        <f>Допущения!$B$39/12/1000*M4</f>
        <v/>
      </c>
      <c r="N5" s="17">
        <f>Допущения!$B$39/12/1000*N4</f>
        <v/>
      </c>
      <c r="O5" s="17">
        <f>Допущения!$B$39/12/1000*O4</f>
        <v/>
      </c>
      <c r="P5" s="17">
        <f>Допущения!$B$39/12/1000*P4</f>
        <v/>
      </c>
      <c r="Q5" s="17">
        <f>Допущения!$B$39/12/1000*Q4</f>
        <v/>
      </c>
      <c r="R5" s="17">
        <f>Допущения!$B$39/12/1000*R4</f>
        <v/>
      </c>
      <c r="S5" s="17">
        <f>Допущения!$B$39/12/1000*S4</f>
        <v/>
      </c>
      <c r="T5" s="17">
        <f>Допущения!$B$39/12/1000*T4</f>
        <v/>
      </c>
      <c r="U5" s="17">
        <f>Допущения!$B$39/12/1000*U4</f>
        <v/>
      </c>
      <c r="V5" s="17">
        <f>Допущения!$B$39/12/1000*V4</f>
        <v/>
      </c>
      <c r="W5" s="17">
        <f>Допущения!$B$39/12/1000*W4</f>
        <v/>
      </c>
      <c r="X5" s="17">
        <f>Допущения!$B$39/12/1000*X4</f>
        <v/>
      </c>
      <c r="Y5" s="17">
        <f>Допущения!$B$39/12/1000*Y4</f>
        <v/>
      </c>
      <c r="Z5" s="24">
        <f>SUM(B5:Y5)</f>
        <v/>
      </c>
    </row>
    <row r="6">
      <c r="A6" s="13" t="inlineStr">
        <is>
          <t>COGS</t>
        </is>
      </c>
      <c r="B6" s="17">
        <f>B5*Допущения!$B$45</f>
        <v/>
      </c>
      <c r="C6" s="17">
        <f>C5*Допущения!$B$45</f>
        <v/>
      </c>
      <c r="D6" s="17">
        <f>D5*Допущения!$B$45</f>
        <v/>
      </c>
      <c r="E6" s="17">
        <f>E5*Допущения!$B$45</f>
        <v/>
      </c>
      <c r="F6" s="17">
        <f>F5*Допущения!$B$45</f>
        <v/>
      </c>
      <c r="G6" s="17">
        <f>G5*Допущения!$B$45</f>
        <v/>
      </c>
      <c r="H6" s="17">
        <f>H5*Допущения!$B$45</f>
        <v/>
      </c>
      <c r="I6" s="17">
        <f>I5*Допущения!$B$45</f>
        <v/>
      </c>
      <c r="J6" s="17">
        <f>J5*Допущения!$B$45</f>
        <v/>
      </c>
      <c r="K6" s="17">
        <f>K5*Допущения!$B$45</f>
        <v/>
      </c>
      <c r="L6" s="17">
        <f>L5*Допущения!$B$45</f>
        <v/>
      </c>
      <c r="M6" s="17">
        <f>M5*Допущения!$B$45</f>
        <v/>
      </c>
      <c r="N6" s="17">
        <f>N5*Допущения!$B$45</f>
        <v/>
      </c>
      <c r="O6" s="17">
        <f>O5*Допущения!$B$45</f>
        <v/>
      </c>
      <c r="P6" s="17">
        <f>P5*Допущения!$B$45</f>
        <v/>
      </c>
      <c r="Q6" s="17">
        <f>Q5*Допущения!$B$45</f>
        <v/>
      </c>
      <c r="R6" s="17">
        <f>R5*Допущения!$B$45</f>
        <v/>
      </c>
      <c r="S6" s="17">
        <f>S5*Допущения!$B$45</f>
        <v/>
      </c>
      <c r="T6" s="17">
        <f>T5*Допущения!$B$45</f>
        <v/>
      </c>
      <c r="U6" s="17">
        <f>U5*Допущения!$B$45</f>
        <v/>
      </c>
      <c r="V6" s="17">
        <f>V5*Допущения!$B$45</f>
        <v/>
      </c>
      <c r="W6" s="17">
        <f>W5*Допущения!$B$45</f>
        <v/>
      </c>
      <c r="X6" s="17">
        <f>X5*Допущения!$B$45</f>
        <v/>
      </c>
      <c r="Y6" s="17">
        <f>Y5*Допущения!$B$45</f>
        <v/>
      </c>
      <c r="Z6" s="24">
        <f>SUM(B6:Y6)</f>
        <v/>
      </c>
    </row>
    <row r="7">
      <c r="A7" s="13" t="inlineStr">
        <is>
          <t>Аренда + опекс</t>
        </is>
      </c>
      <c r="B7" s="17">
        <f>B5*Допущения!$B$46</f>
        <v/>
      </c>
      <c r="C7" s="17">
        <f>C5*Допущения!$B$46</f>
        <v/>
      </c>
      <c r="D7" s="17">
        <f>D5*Допущения!$B$46</f>
        <v/>
      </c>
      <c r="E7" s="17">
        <f>E5*Допущения!$B$46</f>
        <v/>
      </c>
      <c r="F7" s="17">
        <f>F5*Допущения!$B$46</f>
        <v/>
      </c>
      <c r="G7" s="17">
        <f>G5*Допущения!$B$46</f>
        <v/>
      </c>
      <c r="H7" s="17">
        <f>Допущения!$B$39/12/1000*Допущения!$B$46</f>
        <v/>
      </c>
      <c r="I7" s="17">
        <f>Допущения!$B$39/12/1000*Допущения!$B$46</f>
        <v/>
      </c>
      <c r="J7" s="17">
        <f>J5*Допущения!$B$46</f>
        <v/>
      </c>
      <c r="K7" s="17">
        <f>K5*Допущения!$B$46</f>
        <v/>
      </c>
      <c r="L7" s="17">
        <f>L5*Допущения!$B$46</f>
        <v/>
      </c>
      <c r="M7" s="17">
        <f>M5*Допущения!$B$46</f>
        <v/>
      </c>
      <c r="N7" s="17">
        <f>N5*Допущения!$B$46</f>
        <v/>
      </c>
      <c r="O7" s="17">
        <f>O5*Допущения!$B$46</f>
        <v/>
      </c>
      <c r="P7" s="17">
        <f>P5*Допущения!$B$46</f>
        <v/>
      </c>
      <c r="Q7" s="17">
        <f>Q5*Допущения!$B$46</f>
        <v/>
      </c>
      <c r="R7" s="17">
        <f>R5*Допущения!$B$46</f>
        <v/>
      </c>
      <c r="S7" s="17">
        <f>S5*Допущения!$B$46</f>
        <v/>
      </c>
      <c r="T7" s="17">
        <f>T5*Допущения!$B$46</f>
        <v/>
      </c>
      <c r="U7" s="17">
        <f>U5*Допущения!$B$46</f>
        <v/>
      </c>
      <c r="V7" s="17">
        <f>V5*Допущения!$B$46</f>
        <v/>
      </c>
      <c r="W7" s="17">
        <f>W5*Допущения!$B$46</f>
        <v/>
      </c>
      <c r="X7" s="17">
        <f>X5*Допущения!$B$46</f>
        <v/>
      </c>
      <c r="Y7" s="17">
        <f>Y5*Допущения!$B$46</f>
        <v/>
      </c>
      <c r="Z7" s="24">
        <f>SUM(B7:Y7)</f>
        <v/>
      </c>
    </row>
    <row r="8">
      <c r="A8" s="13" t="inlineStr">
        <is>
          <t>ФОТ + соцналоги</t>
        </is>
      </c>
      <c r="B8" s="17">
        <f>B5*Допущения!$B$47</f>
        <v/>
      </c>
      <c r="C8" s="17">
        <f>C5*Допущения!$B$47</f>
        <v/>
      </c>
      <c r="D8" s="17">
        <f>D5*Допущения!$B$47</f>
        <v/>
      </c>
      <c r="E8" s="17">
        <f>E5*Допущения!$B$47</f>
        <v/>
      </c>
      <c r="F8" s="17">
        <f>F5*Допущения!$B$47</f>
        <v/>
      </c>
      <c r="G8" s="17">
        <f>G5*Допущения!$B$47</f>
        <v/>
      </c>
      <c r="H8" s="17">
        <f>H5*Допущения!$B$47</f>
        <v/>
      </c>
      <c r="I8" s="17">
        <f>Допущения!$B$39/12/1000*Допущения!$B$47*0.6</f>
        <v/>
      </c>
      <c r="J8" s="17">
        <f>J5*Допущения!$B$47</f>
        <v/>
      </c>
      <c r="K8" s="17">
        <f>K5*Допущения!$B$47</f>
        <v/>
      </c>
      <c r="L8" s="17">
        <f>L5*Допущения!$B$47</f>
        <v/>
      </c>
      <c r="M8" s="17">
        <f>M5*Допущения!$B$47</f>
        <v/>
      </c>
      <c r="N8" s="17">
        <f>N5*Допущения!$B$47</f>
        <v/>
      </c>
      <c r="O8" s="17">
        <f>O5*Допущения!$B$47</f>
        <v/>
      </c>
      <c r="P8" s="17">
        <f>P5*Допущения!$B$47</f>
        <v/>
      </c>
      <c r="Q8" s="17">
        <f>Q5*Допущения!$B$47</f>
        <v/>
      </c>
      <c r="R8" s="17">
        <f>R5*Допущения!$B$47</f>
        <v/>
      </c>
      <c r="S8" s="17">
        <f>S5*Допущения!$B$47</f>
        <v/>
      </c>
      <c r="T8" s="17">
        <f>T5*Допущения!$B$47</f>
        <v/>
      </c>
      <c r="U8" s="17">
        <f>U5*Допущения!$B$47</f>
        <v/>
      </c>
      <c r="V8" s="17">
        <f>V5*Допущения!$B$47</f>
        <v/>
      </c>
      <c r="W8" s="17">
        <f>W5*Допущения!$B$47</f>
        <v/>
      </c>
      <c r="X8" s="17">
        <f>X5*Допущения!$B$47</f>
        <v/>
      </c>
      <c r="Y8" s="17">
        <f>Y5*Допущения!$B$47</f>
        <v/>
      </c>
      <c r="Z8" s="24">
        <f>SUM(B8:Y8)</f>
        <v/>
      </c>
    </row>
    <row r="9">
      <c r="A9" s="13" t="inlineStr">
        <is>
          <t>Эквайринг</t>
        </is>
      </c>
      <c r="B9" s="17">
        <f>B5*Допущения!$B$48</f>
        <v/>
      </c>
      <c r="C9" s="17">
        <f>C5*Допущения!$B$48</f>
        <v/>
      </c>
      <c r="D9" s="17">
        <f>D5*Допущения!$B$48</f>
        <v/>
      </c>
      <c r="E9" s="17">
        <f>E5*Допущения!$B$48</f>
        <v/>
      </c>
      <c r="F9" s="17">
        <f>F5*Допущения!$B$48</f>
        <v/>
      </c>
      <c r="G9" s="17">
        <f>G5*Допущения!$B$48</f>
        <v/>
      </c>
      <c r="H9" s="17">
        <f>H5*Допущения!$B$48</f>
        <v/>
      </c>
      <c r="I9" s="17">
        <f>I5*Допущения!$B$48</f>
        <v/>
      </c>
      <c r="J9" s="17">
        <f>J5*Допущения!$B$48</f>
        <v/>
      </c>
      <c r="K9" s="17">
        <f>K5*Допущения!$B$48</f>
        <v/>
      </c>
      <c r="L9" s="17">
        <f>L5*Допущения!$B$48</f>
        <v/>
      </c>
      <c r="M9" s="17">
        <f>M5*Допущения!$B$48</f>
        <v/>
      </c>
      <c r="N9" s="17">
        <f>N5*Допущения!$B$48</f>
        <v/>
      </c>
      <c r="O9" s="17">
        <f>O5*Допущения!$B$48</f>
        <v/>
      </c>
      <c r="P9" s="17">
        <f>P5*Допущения!$B$48</f>
        <v/>
      </c>
      <c r="Q9" s="17">
        <f>Q5*Допущения!$B$48</f>
        <v/>
      </c>
      <c r="R9" s="17">
        <f>R5*Допущения!$B$48</f>
        <v/>
      </c>
      <c r="S9" s="17">
        <f>S5*Допущения!$B$48</f>
        <v/>
      </c>
      <c r="T9" s="17">
        <f>T5*Допущения!$B$48</f>
        <v/>
      </c>
      <c r="U9" s="17">
        <f>U5*Допущения!$B$48</f>
        <v/>
      </c>
      <c r="V9" s="17">
        <f>V5*Допущения!$B$48</f>
        <v/>
      </c>
      <c r="W9" s="17">
        <f>W5*Допущения!$B$48</f>
        <v/>
      </c>
      <c r="X9" s="17">
        <f>X5*Допущения!$B$48</f>
        <v/>
      </c>
      <c r="Y9" s="17">
        <f>Y5*Допущения!$B$48</f>
        <v/>
      </c>
      <c r="Z9" s="24">
        <f>SUM(B9:Y9)</f>
        <v/>
      </c>
    </row>
    <row r="10">
      <c r="A10" s="13" t="inlineStr">
        <is>
          <t>Прочее</t>
        </is>
      </c>
      <c r="B10" s="17">
        <f>B5*Допущения!$B$49</f>
        <v/>
      </c>
      <c r="C10" s="17">
        <f>C5*Допущения!$B$49</f>
        <v/>
      </c>
      <c r="D10" s="17">
        <f>D5*Допущения!$B$49</f>
        <v/>
      </c>
      <c r="E10" s="17">
        <f>E5*Допущения!$B$49</f>
        <v/>
      </c>
      <c r="F10" s="17">
        <f>F5*Допущения!$B$49</f>
        <v/>
      </c>
      <c r="G10" s="17">
        <f>G5*Допущения!$B$49</f>
        <v/>
      </c>
      <c r="H10" s="17">
        <f>H5*Допущения!$B$49</f>
        <v/>
      </c>
      <c r="I10" s="17">
        <f>I5*Допущения!$B$49</f>
        <v/>
      </c>
      <c r="J10" s="17">
        <f>J5*Допущения!$B$49</f>
        <v/>
      </c>
      <c r="K10" s="17">
        <f>K5*Допущения!$B$49</f>
        <v/>
      </c>
      <c r="L10" s="17">
        <f>L5*Допущения!$B$49</f>
        <v/>
      </c>
      <c r="M10" s="17">
        <f>M5*Допущения!$B$49</f>
        <v/>
      </c>
      <c r="N10" s="17">
        <f>N5*Допущения!$B$49</f>
        <v/>
      </c>
      <c r="O10" s="17">
        <f>O5*Допущения!$B$49</f>
        <v/>
      </c>
      <c r="P10" s="17">
        <f>P5*Допущения!$B$49</f>
        <v/>
      </c>
      <c r="Q10" s="17">
        <f>Q5*Допущения!$B$49</f>
        <v/>
      </c>
      <c r="R10" s="17">
        <f>R5*Допущения!$B$49</f>
        <v/>
      </c>
      <c r="S10" s="17">
        <f>S5*Допущения!$B$49</f>
        <v/>
      </c>
      <c r="T10" s="17">
        <f>T5*Допущения!$B$49</f>
        <v/>
      </c>
      <c r="U10" s="17">
        <f>U5*Допущения!$B$49</f>
        <v/>
      </c>
      <c r="V10" s="17">
        <f>V5*Допущения!$B$49</f>
        <v/>
      </c>
      <c r="W10" s="17">
        <f>W5*Допущения!$B$49</f>
        <v/>
      </c>
      <c r="X10" s="17">
        <f>X5*Допущения!$B$49</f>
        <v/>
      </c>
      <c r="Y10" s="17">
        <f>Y5*Допущения!$B$49</f>
        <v/>
      </c>
      <c r="Z10" s="24">
        <f>SUM(B10:Y10)</f>
        <v/>
      </c>
    </row>
    <row r="11">
      <c r="A11" s="13" t="inlineStr">
        <is>
          <t>Маркетинг локальный</t>
        </is>
      </c>
      <c r="B11" s="17">
        <f>B5*Допущения!$B$50</f>
        <v/>
      </c>
      <c r="C11" s="17">
        <f>C5*Допущения!$B$50</f>
        <v/>
      </c>
      <c r="D11" s="17">
        <f>D5*Допущения!$B$50</f>
        <v/>
      </c>
      <c r="E11" s="17">
        <f>E5*Допущения!$B$50</f>
        <v/>
      </c>
      <c r="F11" s="17">
        <f>F5*Допущения!$B$50</f>
        <v/>
      </c>
      <c r="G11" s="17">
        <f>G5*Допущения!$B$50</f>
        <v/>
      </c>
      <c r="H11" s="17">
        <f>H5*Допущения!$B$50</f>
        <v/>
      </c>
      <c r="I11" s="17">
        <f>I5*Допущения!$B$50</f>
        <v/>
      </c>
      <c r="J11" s="17">
        <f>J5*Допущения!$B$50</f>
        <v/>
      </c>
      <c r="K11" s="17">
        <f>K5*Допущения!$B$50</f>
        <v/>
      </c>
      <c r="L11" s="17">
        <f>L5*Допущения!$B$50</f>
        <v/>
      </c>
      <c r="M11" s="17">
        <f>M5*Допущения!$B$50</f>
        <v/>
      </c>
      <c r="N11" s="17">
        <f>N5*Допущения!$B$50</f>
        <v/>
      </c>
      <c r="O11" s="17">
        <f>O5*Допущения!$B$50</f>
        <v/>
      </c>
      <c r="P11" s="17">
        <f>P5*Допущения!$B$50</f>
        <v/>
      </c>
      <c r="Q11" s="17">
        <f>Q5*Допущения!$B$50</f>
        <v/>
      </c>
      <c r="R11" s="17">
        <f>R5*Допущения!$B$50</f>
        <v/>
      </c>
      <c r="S11" s="17">
        <f>S5*Допущения!$B$50</f>
        <v/>
      </c>
      <c r="T11" s="17">
        <f>T5*Допущения!$B$50</f>
        <v/>
      </c>
      <c r="U11" s="17">
        <f>U5*Допущения!$B$50</f>
        <v/>
      </c>
      <c r="V11" s="17">
        <f>V5*Допущения!$B$50</f>
        <v/>
      </c>
      <c r="W11" s="17">
        <f>W5*Допущения!$B$50</f>
        <v/>
      </c>
      <c r="X11" s="17">
        <f>X5*Допущения!$B$50</f>
        <v/>
      </c>
      <c r="Y11" s="17">
        <f>Y5*Допущения!$B$50</f>
        <v/>
      </c>
      <c r="Z11" s="24">
        <f>SUM(B11:Y11)</f>
        <v/>
      </c>
    </row>
    <row r="12">
      <c r="A12" s="4" t="inlineStr">
        <is>
          <t>Store-level EBITDA, ₽ тыс.</t>
        </is>
      </c>
      <c r="B12" s="5">
        <f>B5-SUM(B6:B11)</f>
        <v/>
      </c>
      <c r="C12" s="5">
        <f>C5-SUM(C6:C11)</f>
        <v/>
      </c>
      <c r="D12" s="5">
        <f>D5-SUM(D6:D11)</f>
        <v/>
      </c>
      <c r="E12" s="5">
        <f>E5-SUM(E6:E11)</f>
        <v/>
      </c>
      <c r="F12" s="5">
        <f>F5-SUM(F6:F11)</f>
        <v/>
      </c>
      <c r="G12" s="5">
        <f>G5-SUM(G6:G11)</f>
        <v/>
      </c>
      <c r="H12" s="5">
        <f>H5-SUM(H6:H11)</f>
        <v/>
      </c>
      <c r="I12" s="5">
        <f>I5-SUM(I6:I11)</f>
        <v/>
      </c>
      <c r="J12" s="5">
        <f>J5-SUM(J6:J11)</f>
        <v/>
      </c>
      <c r="K12" s="5">
        <f>K5-SUM(K6:K11)</f>
        <v/>
      </c>
      <c r="L12" s="5">
        <f>L5-SUM(L6:L11)</f>
        <v/>
      </c>
      <c r="M12" s="5">
        <f>M5-SUM(M6:M11)</f>
        <v/>
      </c>
      <c r="N12" s="5">
        <f>N5-SUM(N6:N11)</f>
        <v/>
      </c>
      <c r="O12" s="5">
        <f>O5-SUM(O6:O11)</f>
        <v/>
      </c>
      <c r="P12" s="5">
        <f>P5-SUM(P6:P11)</f>
        <v/>
      </c>
      <c r="Q12" s="5">
        <f>Q5-SUM(Q6:Q11)</f>
        <v/>
      </c>
      <c r="R12" s="5">
        <f>R5-SUM(R6:R11)</f>
        <v/>
      </c>
      <c r="S12" s="5">
        <f>S5-SUM(S6:S11)</f>
        <v/>
      </c>
      <c r="T12" s="5">
        <f>T5-SUM(T6:T11)</f>
        <v/>
      </c>
      <c r="U12" s="5">
        <f>U5-SUM(U6:U11)</f>
        <v/>
      </c>
      <c r="V12" s="5">
        <f>V5-SUM(V6:V11)</f>
        <v/>
      </c>
      <c r="W12" s="5">
        <f>W5-SUM(W6:W11)</f>
        <v/>
      </c>
      <c r="X12" s="5">
        <f>X5-SUM(X6:X11)</f>
        <v/>
      </c>
      <c r="Y12" s="5">
        <f>Y5-SUM(Y6:Y11)</f>
        <v/>
      </c>
      <c r="Z12" s="5">
        <f>SUM(B12:Y12)</f>
        <v/>
      </c>
    </row>
  </sheetData>
  <mergeCells count="1">
    <mergeCell ref="A1:Y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46"/>
  <sheetViews>
    <sheetView workbookViewId="0">
      <selection activeCell="A1" sqref="A1"/>
    </sheetView>
  </sheetViews>
  <sheetFormatPr baseColWidth="8" defaultRowHeight="15"/>
  <cols>
    <col width="4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24" customHeight="1">
      <c r="A1" s="20" t="inlineStr">
        <is>
          <t>Сеть «Чапан» — Консолидированный P&amp;L и Cashflow Y1-Y5 (₽ млн)</t>
        </is>
      </c>
    </row>
    <row r="3">
      <c r="A3" s="21" t="inlineStr">
        <is>
          <t>Статья / Год</t>
        </is>
      </c>
      <c r="B3" s="3" t="inlineStr">
        <is>
          <t>Y1 (2027)</t>
        </is>
      </c>
      <c r="C3" s="3" t="inlineStr">
        <is>
          <t>Y2 (2028)</t>
        </is>
      </c>
      <c r="D3" s="3" t="inlineStr">
        <is>
          <t>Y3 (2029)</t>
        </is>
      </c>
      <c r="E3" s="3" t="inlineStr">
        <is>
          <t>Y4 (2030)</t>
        </is>
      </c>
      <c r="F3" s="3" t="inlineStr">
        <is>
          <t>Y5 (2031)</t>
        </is>
      </c>
      <c r="G3" s="21" t="inlineStr">
        <is>
          <t>Y1-Y5 итог</t>
        </is>
      </c>
    </row>
    <row r="5">
      <c r="A5" s="4" t="inlineStr">
        <is>
          <t>Открытий за год — компакт</t>
        </is>
      </c>
      <c r="B5" s="17" t="n">
        <v>2</v>
      </c>
      <c r="C5" s="17" t="n">
        <v>10</v>
      </c>
      <c r="D5" s="17" t="n">
        <v>12</v>
      </c>
      <c r="E5" s="17" t="n">
        <v>9</v>
      </c>
      <c r="F5" s="17" t="n">
        <v>0</v>
      </c>
    </row>
    <row r="6">
      <c r="A6" s="4" t="inlineStr">
        <is>
          <t>Открытий за год — флагман</t>
        </is>
      </c>
      <c r="B6" s="17" t="n">
        <v>1</v>
      </c>
      <c r="C6" s="17" t="n">
        <v>0</v>
      </c>
      <c r="D6" s="17" t="n">
        <v>0</v>
      </c>
      <c r="E6" s="17" t="n">
        <v>0</v>
      </c>
      <c r="F6" s="17" t="n">
        <v>0</v>
      </c>
    </row>
    <row r="7">
      <c r="A7" s="13" t="inlineStr">
        <is>
          <t>Кумулятивно — компакт</t>
        </is>
      </c>
      <c r="B7" s="17" t="n">
        <v>2</v>
      </c>
      <c r="C7" s="17" t="n">
        <v>12</v>
      </c>
      <c r="D7" s="17" t="n">
        <v>24</v>
      </c>
      <c r="E7" s="17" t="n">
        <v>33</v>
      </c>
      <c r="F7" s="17" t="n">
        <v>33</v>
      </c>
    </row>
    <row r="8">
      <c r="A8" s="13" t="inlineStr">
        <is>
          <t>Кумулятивно — флагман</t>
        </is>
      </c>
      <c r="B8" s="17" t="n">
        <v>1</v>
      </c>
      <c r="C8" s="17" t="n">
        <v>1</v>
      </c>
      <c r="D8" s="17" t="n">
        <v>1</v>
      </c>
      <c r="E8" s="17" t="n">
        <v>1</v>
      </c>
      <c r="F8" s="17" t="n">
        <v>1</v>
      </c>
    </row>
    <row r="9">
      <c r="A9" s="6" t="inlineStr">
        <is>
          <t>Эквивалент годовой работы (компакт)</t>
        </is>
      </c>
      <c r="B9" s="26" t="n">
        <v>0.66</v>
      </c>
      <c r="C9" s="26" t="n">
        <v>7</v>
      </c>
      <c r="D9" s="26" t="n">
        <v>18</v>
      </c>
      <c r="E9" s="26" t="n">
        <v>28.5</v>
      </c>
      <c r="F9" s="26" t="n">
        <v>33</v>
      </c>
    </row>
    <row r="10">
      <c r="A10" s="6" t="inlineStr">
        <is>
          <t>Эквивалент годовой работы (флагман)</t>
        </is>
      </c>
      <c r="B10" s="26" t="n">
        <v>0</v>
      </c>
      <c r="C10" s="26" t="n">
        <v>1</v>
      </c>
      <c r="D10" s="26" t="n">
        <v>1</v>
      </c>
      <c r="E10" s="26" t="n">
        <v>1</v>
      </c>
      <c r="F10" s="26" t="n">
        <v>1</v>
      </c>
    </row>
    <row r="12">
      <c r="A12" s="13" t="inlineStr">
        <is>
          <t>Выручка флагманов, ₽ млн</t>
        </is>
      </c>
      <c r="B12" s="17">
        <f>Допущения!$B$18/1000000*B10</f>
        <v/>
      </c>
      <c r="C12" s="17">
        <f>Допущения!$B$18/1000000*C10</f>
        <v/>
      </c>
      <c r="D12" s="17">
        <f>Допущения!$B$18/1000000*D10</f>
        <v/>
      </c>
      <c r="E12" s="17">
        <f>Допущения!$B$18/1000000*E10</f>
        <v/>
      </c>
      <c r="F12" s="17">
        <f>Допущения!$B$18/1000000*F10</f>
        <v/>
      </c>
    </row>
    <row r="13">
      <c r="A13" s="13" t="inlineStr">
        <is>
          <t>Выручка компактов, ₽ млн</t>
        </is>
      </c>
      <c r="B13" s="17">
        <f>Допущения!$B$39/1000000*B9*0.6</f>
        <v/>
      </c>
      <c r="C13" s="17">
        <f>Допущения!$B$39/1000000*C9*1.0</f>
        <v/>
      </c>
      <c r="D13" s="17">
        <f>Допущения!$B$39/1000000*D9*1.0</f>
        <v/>
      </c>
      <c r="E13" s="17">
        <f>Допущения!$B$39/1000000*E9*1.0</f>
        <v/>
      </c>
      <c r="F13" s="17">
        <f>Допущения!$B$39/1000000*F9*1.0</f>
        <v/>
      </c>
    </row>
    <row r="14">
      <c r="A14" s="4" t="inlineStr">
        <is>
          <t>ИТОГО выручка, ₽ млн</t>
        </is>
      </c>
      <c r="B14" s="24">
        <f>B12+B13</f>
        <v/>
      </c>
      <c r="C14" s="24">
        <f>C12+C13</f>
        <v/>
      </c>
      <c r="D14" s="24">
        <f>D12+D13</f>
        <v/>
      </c>
      <c r="E14" s="24">
        <f>E12+E13</f>
        <v/>
      </c>
      <c r="F14" s="24">
        <f>F12+F13</f>
        <v/>
      </c>
      <c r="G14" s="24">
        <f>SUM(B14:F14)</f>
        <v/>
      </c>
    </row>
    <row r="15">
      <c r="A15" s="13" t="inlineStr">
        <is>
          <t>COGS</t>
        </is>
      </c>
      <c r="B15" s="17">
        <f>B12*Допущения!$B$25+B13*Допущения!$B$45</f>
        <v/>
      </c>
      <c r="C15" s="17">
        <f>C12*Допущения!$B$25+C13*Допущения!$B$45</f>
        <v/>
      </c>
      <c r="D15" s="17">
        <f>D12*Допущения!$B$25+D13*Допущения!$B$45</f>
        <v/>
      </c>
      <c r="E15" s="17">
        <f>E12*Допущения!$B$25+E13*Допущения!$B$45</f>
        <v/>
      </c>
      <c r="F15" s="17">
        <f>F12*Допущения!$B$25+F13*Допущения!$B$45</f>
        <v/>
      </c>
      <c r="G15" s="17">
        <f>SUM(B15:F15)</f>
        <v/>
      </c>
    </row>
    <row r="16">
      <c r="A16" s="13" t="inlineStr">
        <is>
          <t>Аренда + опекс</t>
        </is>
      </c>
      <c r="B16" s="17">
        <f>B12*Допущения!$B$26+B13*Допущения!$B$46</f>
        <v/>
      </c>
      <c r="C16" s="17">
        <f>C12*Допущения!$B$26+C13*Допущения!$B$46</f>
        <v/>
      </c>
      <c r="D16" s="17">
        <f>D12*Допущения!$B$26+D13*Допущения!$B$46</f>
        <v/>
      </c>
      <c r="E16" s="17">
        <f>E12*Допущения!$B$26+E13*Допущения!$B$46</f>
        <v/>
      </c>
      <c r="F16" s="17">
        <f>F12*Допущения!$B$26+F13*Допущения!$B$46</f>
        <v/>
      </c>
      <c r="G16" s="17">
        <f>SUM(B16:F16)</f>
        <v/>
      </c>
    </row>
    <row r="17">
      <c r="A17" s="13" t="inlineStr">
        <is>
          <t>ФОТ + соцналоги</t>
        </is>
      </c>
      <c r="B17" s="17">
        <f>B12*Допущения!$B$27+B13*Допущения!$B$47</f>
        <v/>
      </c>
      <c r="C17" s="17">
        <f>C12*Допущения!$B$27+C13*Допущения!$B$47</f>
        <v/>
      </c>
      <c r="D17" s="17">
        <f>D12*Допущения!$B$27+D13*Допущения!$B$47</f>
        <v/>
      </c>
      <c r="E17" s="17">
        <f>E12*Допущения!$B$27+E13*Допущения!$B$47</f>
        <v/>
      </c>
      <c r="F17" s="17">
        <f>F12*Допущения!$B$27+F13*Допущения!$B$47</f>
        <v/>
      </c>
      <c r="G17" s="17">
        <f>SUM(B17:F17)</f>
        <v/>
      </c>
    </row>
    <row r="18">
      <c r="A18" s="13" t="inlineStr">
        <is>
          <t>Эквайринг</t>
        </is>
      </c>
      <c r="B18" s="17">
        <f>B12*Допущения!$B$28+B13*Допущения!$B$48</f>
        <v/>
      </c>
      <c r="C18" s="17">
        <f>C12*Допущения!$B$28+C13*Допущения!$B$48</f>
        <v/>
      </c>
      <c r="D18" s="17">
        <f>D12*Допущения!$B$28+D13*Допущения!$B$48</f>
        <v/>
      </c>
      <c r="E18" s="17">
        <f>E12*Допущения!$B$28+E13*Допущения!$B$48</f>
        <v/>
      </c>
      <c r="F18" s="17">
        <f>F12*Допущения!$B$28+F13*Допущения!$B$48</f>
        <v/>
      </c>
      <c r="G18" s="17">
        <f>SUM(B18:F18)</f>
        <v/>
      </c>
    </row>
    <row r="19">
      <c r="A19" s="13" t="inlineStr">
        <is>
          <t>Прочее store-level</t>
        </is>
      </c>
      <c r="B19" s="17">
        <f>B12*Допущения!$B$29+B13*Допущения!$B$49</f>
        <v/>
      </c>
      <c r="C19" s="17">
        <f>C12*Допущения!$B$29+C13*Допущения!$B$49</f>
        <v/>
      </c>
      <c r="D19" s="17">
        <f>D12*Допущения!$B$29+D13*Допущения!$B$49</f>
        <v/>
      </c>
      <c r="E19" s="17">
        <f>E12*Допущения!$B$29+E13*Допущения!$B$49</f>
        <v/>
      </c>
      <c r="F19" s="17">
        <f>F12*Допущения!$B$29+F13*Допущения!$B$49</f>
        <v/>
      </c>
      <c r="G19" s="17">
        <f>SUM(B19:F19)</f>
        <v/>
      </c>
    </row>
    <row r="20">
      <c r="A20" s="13" t="inlineStr">
        <is>
          <t>Маркетинг локальный store-level</t>
        </is>
      </c>
      <c r="B20" s="17">
        <f>B12*Допущения!$B$30+B13*Допущения!$B$50</f>
        <v/>
      </c>
      <c r="C20" s="17">
        <f>C12*Допущения!$B$30+C13*Допущения!$B$50</f>
        <v/>
      </c>
      <c r="D20" s="17">
        <f>D12*Допущения!$B$30+D13*Допущения!$B$50</f>
        <v/>
      </c>
      <c r="E20" s="17">
        <f>E12*Допущения!$B$30+E13*Допущения!$B$50</f>
        <v/>
      </c>
      <c r="F20" s="17">
        <f>F12*Допущения!$B$30+F13*Допущения!$B$50</f>
        <v/>
      </c>
      <c r="G20" s="17">
        <f>SUM(B20:F20)</f>
        <v/>
      </c>
    </row>
    <row r="21">
      <c r="A21" s="4" t="inlineStr">
        <is>
          <t>Store-level EBITDA, ₽ млн</t>
        </is>
      </c>
      <c r="B21" s="5">
        <f>B14-SUM(B15:B20)</f>
        <v/>
      </c>
      <c r="C21" s="5">
        <f>C14-SUM(C15:C20)</f>
        <v/>
      </c>
      <c r="D21" s="5">
        <f>D14-SUM(D15:D20)</f>
        <v/>
      </c>
      <c r="E21" s="5">
        <f>E14-SUM(E15:E20)</f>
        <v/>
      </c>
      <c r="F21" s="5">
        <f>F14-SUM(F15:F20)</f>
        <v/>
      </c>
      <c r="G21" s="5">
        <f>SUM(B21:F21)</f>
        <v/>
      </c>
    </row>
    <row r="23">
      <c r="A23" s="13" t="inlineStr">
        <is>
          <t>Маркетинг корпоративный, ₽ млн</t>
        </is>
      </c>
      <c r="B23" s="17">
        <f>B14*Допущения!$B$55</f>
        <v/>
      </c>
      <c r="C23" s="17">
        <f>C14*Допущения!$B$56</f>
        <v/>
      </c>
      <c r="D23" s="17">
        <f>D14*Допущения!$B$57</f>
        <v/>
      </c>
      <c r="E23" s="17">
        <f>E14*Допущения!$B$58</f>
        <v/>
      </c>
      <c r="F23" s="17">
        <f>F14*Допущения!$B$59</f>
        <v/>
      </c>
      <c r="G23" s="17">
        <f>SUM(B23:F23)</f>
        <v/>
      </c>
    </row>
    <row r="24">
      <c r="A24" s="13" t="inlineStr">
        <is>
          <t>HQ + админ, ₽ млн</t>
        </is>
      </c>
      <c r="B24" s="17">
        <f>B14*Допущения!$B$60</f>
        <v/>
      </c>
      <c r="C24" s="17">
        <f>C14*Допущения!$B$61</f>
        <v/>
      </c>
      <c r="D24" s="17">
        <f>D14*Допущения!$B$62</f>
        <v/>
      </c>
      <c r="E24" s="17">
        <f>E14*Допущения!$B$63</f>
        <v/>
      </c>
      <c r="F24" s="17">
        <f>F14*Допущения!$B$64</f>
        <v/>
      </c>
      <c r="G24" s="17">
        <f>SUM(B24:F24)</f>
        <v/>
      </c>
    </row>
    <row r="25">
      <c r="A25" s="13" t="inlineStr">
        <is>
          <t>Compliance &amp; Legal, ₽ млн</t>
        </is>
      </c>
      <c r="B25" s="17">
        <f>Допущения!$B$65</f>
        <v/>
      </c>
      <c r="C25" s="17">
        <f>C14*Допущения!$B$66</f>
        <v/>
      </c>
      <c r="D25" s="17">
        <f>D14*Допущения!$B$66</f>
        <v/>
      </c>
      <c r="E25" s="17">
        <f>E14*Допущения!$B$66</f>
        <v/>
      </c>
      <c r="F25" s="17">
        <f>F14*Допущения!$B$66</f>
        <v/>
      </c>
      <c r="G25" s="17">
        <f>SUM(B25:F25)</f>
        <v/>
      </c>
    </row>
    <row r="26">
      <c r="A26" s="13" t="inlineStr">
        <is>
          <t>Центральный цех OpEx (Y2+), ₽ млн</t>
        </is>
      </c>
      <c r="B26" s="17" t="n">
        <v>0</v>
      </c>
      <c r="C26" s="17" t="n">
        <v>14</v>
      </c>
      <c r="D26" s="17" t="n">
        <v>22</v>
      </c>
      <c r="E26" s="17" t="n">
        <v>26</v>
      </c>
      <c r="F26" s="17" t="n">
        <v>28</v>
      </c>
      <c r="G26" s="17">
        <f>SUM(B26:F26)</f>
        <v/>
      </c>
    </row>
    <row r="27">
      <c r="A27" s="4" t="inlineStr">
        <is>
          <t>EBITDA сети, ₽ млн</t>
        </is>
      </c>
      <c r="B27" s="5">
        <f>B21-B23-B24-B25-B26</f>
        <v/>
      </c>
      <c r="C27" s="5">
        <f>C21-C23-C24-C25-C26</f>
        <v/>
      </c>
      <c r="D27" s="5">
        <f>D21-D23-D24-D25-D26</f>
        <v/>
      </c>
      <c r="E27" s="5">
        <f>E21-E23-E24-E25-E26</f>
        <v/>
      </c>
      <c r="F27" s="5">
        <f>F21-F23-F24-F25-F26</f>
        <v/>
      </c>
      <c r="G27" s="5">
        <f>SUM(B27:F27)</f>
        <v/>
      </c>
    </row>
    <row r="28">
      <c r="A28" s="4" t="inlineStr">
        <is>
          <t>EBITDA маржа, %</t>
        </is>
      </c>
      <c r="B28" s="7">
        <f>IF(B14=0,0,B27/B14)</f>
        <v/>
      </c>
      <c r="C28" s="7">
        <f>IF(C14=0,0,C27/C14)</f>
        <v/>
      </c>
      <c r="D28" s="7">
        <f>IF(D14=0,0,D27/D14)</f>
        <v/>
      </c>
      <c r="E28" s="7">
        <f>IF(E14=0,0,E27/E14)</f>
        <v/>
      </c>
      <c r="F28" s="7">
        <f>IF(F14=0,0,F27/F14)</f>
        <v/>
      </c>
    </row>
    <row r="30">
      <c r="A30" s="13" t="inlineStr">
        <is>
          <t>CapEx — флагман, ₽ млн</t>
        </is>
      </c>
      <c r="B30" s="17">
        <f>Допущения!$B$20*B6</f>
        <v/>
      </c>
      <c r="C30" s="17">
        <f>Допущения!$B$20*C6</f>
        <v/>
      </c>
      <c r="D30" s="17">
        <f>Допущения!$B$20*D6</f>
        <v/>
      </c>
      <c r="E30" s="17">
        <f>Допущения!$B$20*E6</f>
        <v/>
      </c>
      <c r="F30" s="17">
        <f>Допущения!$B$20*F6</f>
        <v/>
      </c>
      <c r="G30" s="17">
        <f>SUM(B30:F30)</f>
        <v/>
      </c>
    </row>
    <row r="31">
      <c r="A31" s="13" t="inlineStr">
        <is>
          <t>CapEx — компакт, ₽ млн</t>
        </is>
      </c>
      <c r="B31" s="17">
        <f>Допущения!$B$41*B5</f>
        <v/>
      </c>
      <c r="C31" s="17">
        <f>Допущения!$B$41*C5</f>
        <v/>
      </c>
      <c r="D31" s="17">
        <f>Допущения!$B$41*D5</f>
        <v/>
      </c>
      <c r="E31" s="17">
        <f>Допущения!$B$41*E5</f>
        <v/>
      </c>
      <c r="F31" s="17">
        <f>Допущения!$B$41*F5</f>
        <v/>
      </c>
      <c r="G31" s="17">
        <f>SUM(B31:F31)</f>
        <v/>
      </c>
    </row>
    <row r="32">
      <c r="A32" s="13" t="inlineStr">
        <is>
          <t>CapEx — центр. цех (Y2)</t>
        </is>
      </c>
      <c r="B32" s="17" t="n">
        <v>0</v>
      </c>
      <c r="C32" s="17" t="n">
        <v>65</v>
      </c>
      <c r="D32" s="17" t="n">
        <v>0</v>
      </c>
      <c r="E32" s="17" t="n">
        <v>0</v>
      </c>
      <c r="F32" s="17" t="n">
        <v>0</v>
      </c>
      <c r="G32" s="17">
        <f>SUM(B32:F32)</f>
        <v/>
      </c>
    </row>
    <row r="33">
      <c r="A33" s="4" t="inlineStr">
        <is>
          <t>ИТОГО CapEx, ₽ млн</t>
        </is>
      </c>
      <c r="B33" s="24">
        <f>B30+B31+B32</f>
        <v/>
      </c>
      <c r="C33" s="24">
        <f>C30+C31+C32</f>
        <v/>
      </c>
      <c r="D33" s="24">
        <f>D30+D31+D32</f>
        <v/>
      </c>
      <c r="E33" s="24">
        <f>E30+E31+E32</f>
        <v/>
      </c>
      <c r="F33" s="24">
        <f>F30+F31+F32</f>
        <v/>
      </c>
      <c r="G33" s="24">
        <f>SUM(B33:F33)</f>
        <v/>
      </c>
    </row>
    <row r="35">
      <c r="A35" s="13" t="inlineStr">
        <is>
          <t>Изменение оборотного капитала, ₽ млн</t>
        </is>
      </c>
      <c r="B35" s="17" t="n">
        <v>12</v>
      </c>
      <c r="C35" s="17" t="n">
        <v>28</v>
      </c>
      <c r="D35" s="17" t="n">
        <v>32</v>
      </c>
      <c r="E35" s="17" t="n">
        <v>18</v>
      </c>
      <c r="F35" s="17" t="n">
        <v>12</v>
      </c>
      <c r="G35" s="17">
        <f>SUM(B35:F35)</f>
        <v/>
      </c>
    </row>
    <row r="36">
      <c r="A36" s="4" t="inlineStr">
        <is>
          <t>Свободный денежный поток (EBITDA − CapEx − ΔWC), ₽ млн</t>
        </is>
      </c>
      <c r="B36" s="27">
        <f>B27-B33-B35</f>
        <v/>
      </c>
      <c r="C36" s="27">
        <f>C27-C33-C35</f>
        <v/>
      </c>
      <c r="D36" s="27">
        <f>D27-D33-D35</f>
        <v/>
      </c>
      <c r="E36" s="27">
        <f>E27-E33-E35</f>
        <v/>
      </c>
      <c r="F36" s="27">
        <f>F27-F33-F35</f>
        <v/>
      </c>
      <c r="G36" s="27">
        <f>SUM(B36:F36)</f>
        <v/>
      </c>
    </row>
    <row r="38">
      <c r="A38" s="13" t="inlineStr">
        <is>
          <t>Доля инвестора (Series A)</t>
        </is>
      </c>
      <c r="B38" s="18" t="n">
        <v>0.4</v>
      </c>
    </row>
    <row r="39">
      <c r="A39" s="13" t="inlineStr">
        <is>
          <t>EV/EBITDA exit (множитель к EBITDA Y5)</t>
        </is>
      </c>
      <c r="B39" s="28" t="n">
        <v>8</v>
      </c>
    </row>
    <row r="40">
      <c r="A40" s="13" t="inlineStr">
        <is>
          <t>EV/Revenue exit (множитель к выручке Y5) — альтернатива</t>
        </is>
      </c>
      <c r="B40" s="26" t="n">
        <v>0.65</v>
      </c>
    </row>
    <row r="41">
      <c r="A41" s="4" t="inlineStr">
        <is>
          <t>Денежные потоки инвестора (для IRR), ₽ млн</t>
        </is>
      </c>
      <c r="B41" s="29" t="n">
        <v>-400</v>
      </c>
      <c r="C41" s="29">
        <f>B38*MAX(0,B36)</f>
        <v/>
      </c>
      <c r="D41" s="29">
        <f>B38*MAX(0,C36)</f>
        <v/>
      </c>
      <c r="E41" s="29">
        <f>B38*MAX(0,D36)</f>
        <v/>
      </c>
      <c r="F41" s="29">
        <f>B38*MAX(0,E36)</f>
        <v/>
      </c>
      <c r="G41" s="29">
        <f>B38*MAX(0,F36)+B38*MAX(F27*B39,F14*B40)</f>
        <v/>
      </c>
    </row>
    <row r="42">
      <c r="A42" s="9" t="inlineStr">
        <is>
          <t>Денежные потоки инвестора Ramadan uplift (+12% к выручке), ₽ млн</t>
        </is>
      </c>
      <c r="B42" s="30" t="n">
        <v>-400</v>
      </c>
      <c r="C42" s="30">
        <f>B38*MAX(0,B36+0.12*B14*0.5)</f>
        <v/>
      </c>
      <c r="D42" s="30">
        <f>B38*MAX(0,C36+0.12*C14*0.5)</f>
        <v/>
      </c>
      <c r="E42" s="30">
        <f>B38*MAX(0,D36+0.12*D14*0.5)</f>
        <v/>
      </c>
      <c r="F42" s="30">
        <f>B38*MAX(0,E36+0.12*E14*0.5)</f>
        <v/>
      </c>
      <c r="G42" s="30">
        <f>B38*MAX(0,F36+0.12*F14*0.5)+B38*MAX((F27*1.35)*B39,(F14*1.12)*B40)</f>
        <v/>
      </c>
    </row>
    <row r="43">
      <c r="A43" s="4" t="inlineStr">
        <is>
          <t>IRR базовый (формула IRR)</t>
        </is>
      </c>
      <c r="B43" s="7">
        <f>IRR(B41:G41)</f>
        <v/>
      </c>
    </row>
    <row r="44">
      <c r="A44" s="4" t="inlineStr">
        <is>
          <t>IRR Ramadan uplift (формула IRR)</t>
        </is>
      </c>
      <c r="B44" s="7">
        <f>IRR(B42:G42)</f>
        <v/>
      </c>
    </row>
    <row r="45">
      <c r="A45" s="4" t="inlineStr">
        <is>
          <t>MOIC базовый (Multiple on Invested Capital)</t>
        </is>
      </c>
      <c r="B45" s="8">
        <f>SUM(C41:G41)/(-B41)</f>
        <v/>
      </c>
    </row>
    <row r="46">
      <c r="A46" s="4" t="inlineStr">
        <is>
          <t>Payback инвестора (год нарастающим)</t>
        </is>
      </c>
      <c r="B46" s="9">
        <f>"≈ 5 лет (включая exit)"</f>
        <v/>
      </c>
    </row>
  </sheetData>
  <mergeCells count="1">
    <mergeCell ref="A1:G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8" customWidth="1" min="3" max="3"/>
    <col width="40" customWidth="1" min="4" max="4"/>
  </cols>
  <sheetData>
    <row r="1" ht="24" customHeight="1">
      <c r="A1" s="20" t="inlineStr">
        <is>
          <t>Use of funds — Series A ₽400 млн equity-only</t>
        </is>
      </c>
    </row>
    <row r="3">
      <c r="A3" s="3" t="inlineStr">
        <is>
          <t>Статья</t>
        </is>
      </c>
      <c r="B3" s="3" t="inlineStr">
        <is>
          <t>Сумма, ₽ млн</t>
        </is>
      </c>
      <c r="C3" s="3" t="inlineStr">
        <is>
          <t>Доля</t>
        </is>
      </c>
      <c r="D3" s="3" t="inlineStr">
        <is>
          <t>Комментарий</t>
        </is>
      </c>
    </row>
    <row r="4">
      <c r="A4" s="13" t="inlineStr">
        <is>
          <t>Tranche 1 — Family office Татарстана (Q1)</t>
        </is>
      </c>
      <c r="B4" s="5" t="n">
        <v>250</v>
      </c>
      <c r="C4" s="18">
        <f>B4/400</f>
        <v/>
      </c>
      <c r="D4" s="6" t="inlineStr">
        <is>
          <t>вход первым траншем, культурная мотивация</t>
        </is>
      </c>
    </row>
    <row r="5">
      <c r="A5" s="13" t="inlineStr">
        <is>
          <t>Tranche 2 — UZB/KAZ pool через UAE-SPV (Q3 Y1)</t>
        </is>
      </c>
      <c r="B5" s="5" t="n">
        <v>150</v>
      </c>
      <c r="C5" s="18">
        <f>B5/400</f>
        <v/>
      </c>
      <c r="D5" s="6" t="inlineStr">
        <is>
          <t>второй транш по milestone (открытие флагмана)</t>
        </is>
      </c>
    </row>
    <row r="6">
      <c r="A6" s="13" t="inlineStr">
        <is>
          <t>CapEx — флагман (Текстильщики)</t>
        </is>
      </c>
      <c r="B6" s="31" t="n">
        <v>-51</v>
      </c>
      <c r="C6" s="18">
        <f>B6/400</f>
        <v/>
      </c>
      <c r="D6" s="6" t="inlineStr">
        <is>
          <t>оборудование, ремонт, QR, Россети, halal-QA setup</t>
        </is>
      </c>
    </row>
    <row r="7">
      <c r="A7" s="13" t="inlineStr">
        <is>
          <t>CapEx — компакты Y1 (2 точки)</t>
        </is>
      </c>
      <c r="B7" s="31" t="n">
        <v>-54</v>
      </c>
      <c r="C7" s="18">
        <f>B7/400</f>
        <v/>
      </c>
      <c r="D7" s="6" t="inlineStr">
        <is>
          <t>27 × 2</t>
        </is>
      </c>
    </row>
    <row r="8">
      <c r="A8" s="13" t="inlineStr">
        <is>
          <t>CapEx — компакты Y2 (часть, остальное из cashflow)</t>
        </is>
      </c>
      <c r="B8" s="31" t="n">
        <v>-50</v>
      </c>
      <c r="C8" s="18">
        <f>B8/400</f>
        <v/>
      </c>
      <c r="D8" s="6" t="inlineStr">
        <is>
          <t>9 точек, остаток из cashflow</t>
        </is>
      </c>
    </row>
    <row r="9">
      <c r="A9" s="13" t="inlineStr">
        <is>
          <t>CapEx — центральный производственный цех Y2</t>
        </is>
      </c>
      <c r="B9" s="31" t="n">
        <v>-65</v>
      </c>
      <c r="C9" s="18">
        <f>B9/400</f>
        <v/>
      </c>
      <c r="D9" s="6" t="inlineStr">
        <is>
          <t>новая строка v5, см. отдельный лист</t>
        </is>
      </c>
    </row>
    <row r="10">
      <c r="A10" s="13" t="inlineStr">
        <is>
          <t>Working capital pool (кассовый разрыв халяль-поставщиков)</t>
        </is>
      </c>
      <c r="B10" s="31" t="n">
        <v>-50</v>
      </c>
      <c r="C10" s="18">
        <f>B10/400</f>
        <v/>
      </c>
      <c r="D10" s="6" t="inlineStr">
        <is>
          <t>новая строка v5, недозаложено в v4</t>
        </is>
      </c>
    </row>
    <row r="11">
      <c r="A11" s="13" t="inlineStr">
        <is>
          <t>HQ setup + executive search (12 мес)</t>
        </is>
      </c>
      <c r="B11" s="31" t="n">
        <v>-25</v>
      </c>
      <c r="C11" s="18">
        <f>B11/400</f>
        <v/>
      </c>
      <c r="D11" s="6" t="inlineStr">
        <is>
          <t>Category Director, шеф-технолог, Development Director, Halal Officer</t>
        </is>
      </c>
    </row>
    <row r="12">
      <c r="A12" s="13" t="inlineStr">
        <is>
          <t>Маркетинг Y1 (10% от выручки Y1)</t>
        </is>
      </c>
      <c r="B12" s="31" t="n">
        <v>-25</v>
      </c>
      <c r="C12" s="18">
        <f>B12/400</f>
        <v/>
      </c>
      <c r="D12" s="6" t="inlineStr">
        <is>
          <t>бренд + локальный запуск флагмана</t>
        </is>
      </c>
    </row>
    <row r="13">
      <c r="A13" s="13" t="inlineStr">
        <is>
          <t>Compliance &amp; Legal Y1</t>
        </is>
      </c>
      <c r="B13" s="31" t="n">
        <v>-6</v>
      </c>
      <c r="C13" s="18">
        <f>B13/400</f>
        <v/>
      </c>
      <c r="D13" s="6" t="inlineStr">
        <is>
          <t>Halal Officer ФОТ + патент + ext.legal</t>
        </is>
      </c>
    </row>
    <row r="14">
      <c r="A14" s="13" t="inlineStr">
        <is>
          <t>Сертификация СМР + ДУМ Татарстана (пилот + сеть)</t>
        </is>
      </c>
      <c r="B14" s="31" t="n">
        <v>-12</v>
      </c>
      <c r="C14" s="18">
        <f>B14/400</f>
        <v/>
      </c>
      <c r="D14" s="6" t="inlineStr">
        <is>
          <t>первая сеть с двойной сертификацией</t>
        </is>
      </c>
    </row>
    <row r="15">
      <c r="A15" s="13" t="inlineStr">
        <is>
          <t>Депозиты + Россети + ОАТИ</t>
        </is>
      </c>
      <c r="B15" s="31" t="n">
        <v>-22</v>
      </c>
      <c r="C15" s="18">
        <f>B15/400</f>
        <v/>
      </c>
      <c r="D15" s="6" t="inlineStr">
        <is>
          <t>по 10-12 точкам Y1-Y2</t>
        </is>
      </c>
    </row>
    <row r="16">
      <c r="A16" s="13" t="inlineStr">
        <is>
          <t>Контингенция / резерв (10%)</t>
        </is>
      </c>
      <c r="B16" s="31" t="n">
        <v>-40</v>
      </c>
      <c r="C16" s="18">
        <f>B16/400</f>
        <v/>
      </c>
      <c r="D16" s="6" t="inlineStr">
        <is>
          <t>buffer на стресс-сценарии</t>
        </is>
      </c>
    </row>
    <row r="17">
      <c r="A17" s="4" t="inlineStr">
        <is>
          <t>ИТОГО (источники + использование, должно быть ≈ 0)</t>
        </is>
      </c>
      <c r="B17" s="24">
        <f>SUM(B4:B16)</f>
        <v/>
      </c>
    </row>
    <row r="19">
      <c r="A19" s="6" t="inlineStr">
        <is>
          <t>Stand-by кредитная линия (вне Series A)</t>
        </is>
      </c>
      <c r="B19" s="17" t="n">
        <v>80</v>
      </c>
      <c r="D19" s="6" t="inlineStr">
        <is>
          <t>резерв на чёрный лебедь, банк-цель подключается Q4 Y1</t>
        </is>
      </c>
    </row>
  </sheetData>
  <mergeCells count="1">
    <mergeCell ref="A1:D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4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 ht="24" customHeight="1">
      <c r="A1" s="20" t="inlineStr">
        <is>
          <t>Сценарии — стресс-тесты и upside</t>
        </is>
      </c>
    </row>
    <row r="3">
      <c r="A3" s="21" t="inlineStr">
        <is>
          <t>Метрика</t>
        </is>
      </c>
      <c r="B3" s="21" t="inlineStr">
        <is>
          <t>База</t>
        </is>
      </c>
      <c r="C3" s="32" t="inlineStr">
        <is>
          <t>Оптимист (+15% чек)</t>
        </is>
      </c>
      <c r="D3" s="32" t="inlineStr">
        <is>
          <t>Пессимист (-10% чек)</t>
        </is>
      </c>
      <c r="E3" s="32" t="inlineStr">
        <is>
          <t>Ramadan uplift (+12% выручка)</t>
        </is>
      </c>
      <c r="F3" s="3" t="inlineStr">
        <is>
          <t>Чёрный лебедь (Перекрёсток 100 точек/18 мес)</t>
        </is>
      </c>
    </row>
    <row r="4">
      <c r="A4" s="4" t="inlineStr">
        <is>
          <t>Множитель к выручке Y5</t>
        </is>
      </c>
      <c r="B4" s="26" t="n">
        <v>1</v>
      </c>
      <c r="C4" s="26" t="n">
        <v>1.15</v>
      </c>
      <c r="D4" s="26" t="n">
        <v>0.9</v>
      </c>
      <c r="E4" s="26" t="n">
        <v>1.12</v>
      </c>
      <c r="F4" s="26" t="n">
        <v>0.8</v>
      </c>
    </row>
    <row r="5">
      <c r="A5" s="4" t="inlineStr">
        <is>
          <t>Множитель к EBITDA Y5 (op. leverage)</t>
        </is>
      </c>
      <c r="B5" s="26" t="n">
        <v>1</v>
      </c>
      <c r="C5" s="26" t="n">
        <v>1.65</v>
      </c>
      <c r="D5" s="26" t="n">
        <v>0.45</v>
      </c>
      <c r="E5" s="26" t="n">
        <v>1.35</v>
      </c>
      <c r="F5" s="26" t="n">
        <v>0.4</v>
      </c>
    </row>
    <row r="6">
      <c r="A6" s="4" t="inlineStr">
        <is>
          <t>Выручка Y5, ₽ млн</t>
        </is>
      </c>
      <c r="B6" s="17">
        <f>'Сеть 5 лет'!F14*B4</f>
        <v/>
      </c>
      <c r="C6" s="17">
        <f>'Сеть 5 лет'!F14*C4</f>
        <v/>
      </c>
      <c r="D6" s="17">
        <f>'Сеть 5 лет'!F14*D4</f>
        <v/>
      </c>
      <c r="E6" s="17">
        <f>'Сеть 5 лет'!F14*E4</f>
        <v/>
      </c>
      <c r="F6" s="17">
        <f>'Сеть 5 лет'!F14*F4</f>
        <v/>
      </c>
    </row>
    <row r="7">
      <c r="A7" s="4" t="inlineStr">
        <is>
          <t>EBITDA Y5, ₽ млн</t>
        </is>
      </c>
      <c r="B7" s="17">
        <f>'Сеть 5 лет'!F27*B5</f>
        <v/>
      </c>
      <c r="C7" s="17">
        <f>'Сеть 5 лет'!F27*C5</f>
        <v/>
      </c>
      <c r="D7" s="17">
        <f>'Сеть 5 лет'!F27*D5</f>
        <v/>
      </c>
      <c r="E7" s="17">
        <f>'Сеть 5 лет'!F27*E5</f>
        <v/>
      </c>
      <c r="F7" s="17">
        <f>'Сеть 5 лет'!F27*F5</f>
        <v/>
      </c>
    </row>
    <row r="8">
      <c r="A8" s="4" t="inlineStr">
        <is>
          <t>EBITDA маржа Y5</t>
        </is>
      </c>
      <c r="B8" s="33">
        <f>IF(B6=0,0,B7/B6)</f>
        <v/>
      </c>
      <c r="C8" s="33">
        <f>IF(C6=0,0,C7/C6)</f>
        <v/>
      </c>
      <c r="D8" s="33">
        <f>IF(D6=0,0,D7/D6)</f>
        <v/>
      </c>
      <c r="E8" s="33">
        <f>IF(E6=0,0,E7/E6)</f>
        <v/>
      </c>
      <c r="F8" s="33">
        <f>IF(F6=0,0,F7/F6)</f>
        <v/>
      </c>
    </row>
    <row r="9">
      <c r="A9" s="4" t="inlineStr">
        <is>
          <t>EV exit (5x), ₽ млн</t>
        </is>
      </c>
      <c r="B9" s="17">
        <f>B7*5</f>
        <v/>
      </c>
      <c r="C9" s="17">
        <f>C7*5</f>
        <v/>
      </c>
      <c r="D9" s="17">
        <f>D7*5</f>
        <v/>
      </c>
      <c r="E9" s="17">
        <f>E7*5</f>
        <v/>
      </c>
      <c r="F9" s="17">
        <f>F7*5</f>
        <v/>
      </c>
    </row>
    <row r="10">
      <c r="A10" s="4" t="inlineStr">
        <is>
          <t>MOIC инвестора</t>
        </is>
      </c>
      <c r="B10" s="34">
        <f>B9*0.4/400</f>
        <v/>
      </c>
      <c r="C10" s="34">
        <f>C9*0.4/400</f>
        <v/>
      </c>
      <c r="D10" s="34">
        <f>D9*0.4/400</f>
        <v/>
      </c>
      <c r="E10" s="34">
        <f>E9*0.4/400</f>
        <v/>
      </c>
      <c r="F10" s="34">
        <f>F9*0.4/400</f>
        <v/>
      </c>
    </row>
    <row r="11">
      <c r="A11" s="4" t="inlineStr">
        <is>
          <t>IRR оценочный</t>
        </is>
      </c>
      <c r="B11" s="18" t="n">
        <v>0.14</v>
      </c>
      <c r="C11" s="18" t="n">
        <v>0.21</v>
      </c>
      <c r="D11" s="18" t="n">
        <v>0.04</v>
      </c>
      <c r="E11" s="18" t="n">
        <v>0.18</v>
      </c>
      <c r="F11" s="18" t="n">
        <v>0.02</v>
      </c>
    </row>
    <row r="12">
      <c r="A12" s="4" t="inlineStr">
        <is>
          <t>Вероятность</t>
        </is>
      </c>
      <c r="B12" s="18" t="n">
        <v>0.45</v>
      </c>
      <c r="C12" s="18" t="n">
        <v>0.2</v>
      </c>
      <c r="D12" s="18" t="n">
        <v>0.2</v>
      </c>
      <c r="E12" s="18" t="n">
        <v>0.1</v>
      </c>
      <c r="F12" s="18" t="n">
        <v>0.05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4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 ht="24" customHeight="1">
      <c r="A1" s="20" t="inlineStr">
        <is>
          <t>Working capital — модель кассового разрыва (халяль-поставщики, 0-14 дней)</t>
        </is>
      </c>
    </row>
    <row r="3">
      <c r="A3" s="21" t="inlineStr">
        <is>
          <t>Метрика</t>
        </is>
      </c>
      <c r="B3" s="3" t="inlineStr">
        <is>
          <t>Y1</t>
        </is>
      </c>
      <c r="C3" s="3" t="inlineStr">
        <is>
          <t>Y2</t>
        </is>
      </c>
      <c r="D3" s="3" t="inlineStr">
        <is>
          <t>Y3</t>
        </is>
      </c>
      <c r="E3" s="3" t="inlineStr">
        <is>
          <t>Y4</t>
        </is>
      </c>
      <c r="F3" s="3" t="inlineStr">
        <is>
          <t>Y5</t>
        </is>
      </c>
    </row>
    <row r="4">
      <c r="A4" s="13" t="inlineStr">
        <is>
          <t>Выручка сети, ₽ млн</t>
        </is>
      </c>
      <c r="B4" s="17">
        <f>'Сеть 5 лет'!B14</f>
        <v/>
      </c>
      <c r="C4" s="17">
        <f>'Сеть 5 лет'!C14</f>
        <v/>
      </c>
      <c r="D4" s="17">
        <f>'Сеть 5 лет'!D14</f>
        <v/>
      </c>
      <c r="E4" s="17">
        <f>'Сеть 5 лет'!E14</f>
        <v/>
      </c>
      <c r="F4" s="17">
        <f>'Сеть 5 лет'!F14</f>
        <v/>
      </c>
    </row>
    <row r="5">
      <c r="A5" s="13" t="inlineStr">
        <is>
          <t>Дней оборота запасов (целевое)</t>
        </is>
      </c>
      <c r="B5" s="17" t="n">
        <v>28</v>
      </c>
      <c r="C5" s="17" t="n">
        <v>28</v>
      </c>
      <c r="D5" s="17" t="n">
        <v>26</v>
      </c>
      <c r="E5" s="17" t="n">
        <v>24</v>
      </c>
      <c r="F5" s="17" t="n">
        <v>22</v>
      </c>
    </row>
    <row r="6">
      <c r="A6" s="13" t="inlineStr">
        <is>
          <t>Запасы, ₽ млн (= COGS × дни / 365)</t>
        </is>
      </c>
      <c r="B6" s="35">
        <f>B4*0.69*B5/365</f>
        <v/>
      </c>
      <c r="C6" s="35">
        <f>C4*0.69*C5/365</f>
        <v/>
      </c>
      <c r="D6" s="35">
        <f>D4*0.69*D5/365</f>
        <v/>
      </c>
      <c r="E6" s="35">
        <f>E4*0.69*E5/365</f>
        <v/>
      </c>
      <c r="F6" s="35">
        <f>F4*0.69*F5/365</f>
        <v/>
      </c>
    </row>
    <row r="7">
      <c r="A7" s="13" t="inlineStr">
        <is>
          <t>Дней DSO (покупатели — % картой/СБП)</t>
        </is>
      </c>
      <c r="B7" s="17" t="n">
        <v>2</v>
      </c>
      <c r="C7" s="17" t="n">
        <v>2</v>
      </c>
      <c r="D7" s="17" t="n">
        <v>2</v>
      </c>
      <c r="E7" s="17" t="n">
        <v>2</v>
      </c>
      <c r="F7" s="17" t="n">
        <v>2</v>
      </c>
    </row>
    <row r="8">
      <c r="A8" s="13" t="inlineStr">
        <is>
          <t>Дебиторка, ₽ млн</t>
        </is>
      </c>
      <c r="B8" s="17">
        <f>B4*B7/365</f>
        <v/>
      </c>
      <c r="C8" s="17">
        <f>C4*C7/365</f>
        <v/>
      </c>
      <c r="D8" s="17">
        <f>D4*D7/365</f>
        <v/>
      </c>
      <c r="E8" s="17">
        <f>E4*E7/365</f>
        <v/>
      </c>
      <c r="F8" s="17">
        <f>F4*F7/365</f>
        <v/>
      </c>
    </row>
    <row r="9">
      <c r="A9" s="13" t="inlineStr">
        <is>
          <t>Дней DPO халяль-поставщиков (среднее)</t>
        </is>
      </c>
      <c r="B9" s="17" t="n">
        <v>10</v>
      </c>
      <c r="C9" s="17" t="n">
        <v>12</v>
      </c>
      <c r="D9" s="17" t="n">
        <v>14</v>
      </c>
      <c r="E9" s="17" t="n">
        <v>14</v>
      </c>
      <c r="F9" s="17" t="n">
        <v>14</v>
      </c>
    </row>
    <row r="10">
      <c r="A10" s="13" t="inlineStr">
        <is>
          <t>Кредиторка, ₽ млн</t>
        </is>
      </c>
      <c r="B10" s="17">
        <f>B4*0.69*B9/365</f>
        <v/>
      </c>
      <c r="C10" s="17">
        <f>C4*0.69*C9/365</f>
        <v/>
      </c>
      <c r="D10" s="17">
        <f>D4*0.69*D9/365</f>
        <v/>
      </c>
      <c r="E10" s="17">
        <f>E4*0.69*E9/365</f>
        <v/>
      </c>
      <c r="F10" s="17">
        <f>F4*0.69*F9/365</f>
        <v/>
      </c>
    </row>
    <row r="11">
      <c r="A11" s="4" t="inlineStr">
        <is>
          <t>Чистый оборотный капитал (WC), ₽ млн</t>
        </is>
      </c>
      <c r="B11" s="24">
        <f>B6+B8-B10</f>
        <v/>
      </c>
      <c r="C11" s="24">
        <f>C6+C8-C10</f>
        <v/>
      </c>
      <c r="D11" s="24">
        <f>D6+D8-D10</f>
        <v/>
      </c>
      <c r="E11" s="24">
        <f>E6+E8-E10</f>
        <v/>
      </c>
      <c r="F11" s="24">
        <f>F6+F8-F10</f>
        <v/>
      </c>
    </row>
    <row r="12">
      <c r="A12" s="4" t="inlineStr">
        <is>
          <t>Изменение WC, ₽ млн</t>
        </is>
      </c>
      <c r="B12" s="27">
        <f>B11</f>
        <v/>
      </c>
      <c r="C12" s="27">
        <f>C11-B11</f>
        <v/>
      </c>
      <c r="D12" s="27">
        <f>D11-C11</f>
        <v/>
      </c>
      <c r="E12" s="27">
        <f>E11-D11</f>
        <v/>
      </c>
      <c r="F12" s="27">
        <f>F11-E11</f>
        <v/>
      </c>
    </row>
    <row r="13">
      <c r="A13" s="4" t="inlineStr">
        <is>
          <t>Кассовый разрыв (пиковый, ₽ млн)</t>
        </is>
      </c>
      <c r="B13" s="30">
        <f>B11*1.4</f>
        <v/>
      </c>
      <c r="C13" s="30">
        <f>C11*1.4</f>
        <v/>
      </c>
      <c r="D13" s="30">
        <f>D11*1.4</f>
        <v/>
      </c>
      <c r="E13" s="30">
        <f>E11*1.4</f>
        <v/>
      </c>
      <c r="F13" s="30">
        <f>F11*1.4</f>
        <v/>
      </c>
    </row>
    <row r="15">
      <c r="A15" s="9" t="inlineStr">
        <is>
          <t>Working capital pool в Series A v5: ₽50М (зарезервировано)</t>
        </is>
      </c>
    </row>
    <row r="16">
      <c r="A16" s="6" t="inlineStr">
        <is>
          <t>Покрытие через факторинг (Сбер/Альфа) подключается с Q4 Y1 на остаток дельты.</t>
        </is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C25"/>
  <sheetViews>
    <sheetView workbookViewId="0">
      <selection activeCell="A1" sqref="A1"/>
    </sheetView>
  </sheetViews>
  <sheetFormatPr baseColWidth="8" defaultRowHeight="15"/>
  <cols>
    <col width="44" customWidth="1" min="1" max="1"/>
    <col width="16" customWidth="1" min="2" max="2"/>
    <col width="40" customWidth="1" min="3" max="3"/>
  </cols>
  <sheetData>
    <row r="1" ht="24" customHeight="1">
      <c r="A1" s="20" t="inlineStr">
        <is>
          <t>Центральный производственный цех (Y2 запуск) — CapEx + OpEx + economy of scale</t>
        </is>
      </c>
    </row>
    <row r="3">
      <c r="A3" s="3" t="inlineStr">
        <is>
          <t>Статья</t>
        </is>
      </c>
      <c r="B3" s="3" t="inlineStr">
        <is>
          <t>Сумма, ₽ млн</t>
        </is>
      </c>
      <c r="C3" s="3" t="inlineStr">
        <is>
          <t>Комментарий</t>
        </is>
      </c>
    </row>
    <row r="4">
      <c r="A4" s="13" t="inlineStr">
        <is>
          <t>Депозит + первичная аренда (МО, 600 м²)</t>
        </is>
      </c>
      <c r="B4" s="36" t="n">
        <v>4</v>
      </c>
      <c r="C4" s="6" t="inlineStr">
        <is>
          <t>₽350-500/м²/мес × 600 × 3 мес</t>
        </is>
      </c>
    </row>
    <row r="5">
      <c r="A5" s="13" t="inlineStr">
        <is>
          <t>Ремонт под пищевое производство</t>
        </is>
      </c>
      <c r="B5" s="36" t="n">
        <v>15</v>
      </c>
      <c r="C5" s="6" t="inlineStr">
        <is>
          <t>СЭС-стандарт</t>
        </is>
      </c>
    </row>
    <row r="6">
      <c r="A6" s="13" t="inlineStr">
        <is>
          <t>Холодильные камеры (мясо/готовая/заморозка)</t>
        </is>
      </c>
      <c r="B6" s="36" t="n">
        <v>11</v>
      </c>
      <c r="C6" s="6" t="inlineStr">
        <is>
          <t>3 зоны</t>
        </is>
      </c>
    </row>
    <row r="7">
      <c r="A7" s="13" t="inlineStr">
        <is>
          <t>Тандыры промышленные + вытяжка 4 000 м³/ч</t>
        </is>
      </c>
      <c r="B7" s="36" t="n">
        <v>5</v>
      </c>
      <c r="C7" s="6" t="inlineStr">
        <is>
          <t>2 печи</t>
        </is>
      </c>
    </row>
    <row r="8">
      <c r="A8" s="13" t="inlineStr">
        <is>
          <t>Линия фасовки + упаковочное</t>
        </is>
      </c>
      <c r="B8" s="36" t="n">
        <v>8</v>
      </c>
      <c r="C8" s="6" t="inlineStr">
        <is>
          <t>вакуум + газ-mod атм.</t>
        </is>
      </c>
    </row>
    <row r="9">
      <c r="A9" s="13" t="inlineStr">
        <is>
          <t>Логистика — 2 рефрижератора (Газель Next/Соболь)</t>
        </is>
      </c>
      <c r="B9" s="36" t="n">
        <v>5</v>
      </c>
      <c r="C9" s="6" t="inlineStr">
        <is>
          <t>лизинг или прямая покупка</t>
        </is>
      </c>
    </row>
    <row r="10">
      <c r="A10" s="13" t="inlineStr">
        <is>
          <t>QR-прослеживаемость доп. оборудование</t>
        </is>
      </c>
      <c r="B10" s="36" t="n">
        <v>2.5</v>
      </c>
      <c r="C10" s="6" t="inlineStr">
        <is>
          <t>интеграция с магазинной QR-системой</t>
        </is>
      </c>
    </row>
    <row r="11">
      <c r="A11" s="13" t="inlineStr">
        <is>
          <t>Согласования (СЭЗ, Россельхознадзор, СМР, ДУМ)</t>
        </is>
      </c>
      <c r="B11" s="36" t="n">
        <v>2</v>
      </c>
      <c r="C11" s="6" t="inlineStr">
        <is>
          <t>первая инспекция 60-90 дней</t>
        </is>
      </c>
    </row>
    <row r="12">
      <c r="A12" s="13" t="inlineStr">
        <is>
          <t>ФОТ pre-launch + 3 мес (30-45 чел.)</t>
        </is>
      </c>
      <c r="B12" s="36" t="n">
        <v>12.5</v>
      </c>
      <c r="C12" s="6" t="inlineStr">
        <is>
          <t>обучение + запуск</t>
        </is>
      </c>
    </row>
    <row r="13">
      <c r="A13" s="4" t="inlineStr">
        <is>
          <t>ИТОГО CapEx Y2 центр. цеха (формула SUM)</t>
        </is>
      </c>
      <c r="B13" s="25">
        <f>SUM(B4:B12)</f>
        <v/>
      </c>
    </row>
    <row r="15">
      <c r="A15" s="10" t="inlineStr">
        <is>
          <t>OpEx центр. цеха по годам (ФОТ + аренда + утиль + лог)</t>
        </is>
      </c>
      <c r="B15" s="11" t="n"/>
      <c r="C15" s="12" t="n"/>
    </row>
    <row r="16">
      <c r="A16" s="13" t="inlineStr">
        <is>
          <t>Y2 (запуск, 6-7 мес операций)</t>
        </is>
      </c>
      <c r="B16" s="36" t="n">
        <v>18</v>
      </c>
    </row>
    <row r="17">
      <c r="A17" s="13" t="inlineStr">
        <is>
          <t>Y3 (полный год, поддержка 22 магазинов)</t>
        </is>
      </c>
      <c r="B17" s="36" t="n">
        <v>28</v>
      </c>
    </row>
    <row r="18">
      <c r="A18" s="13" t="inlineStr">
        <is>
          <t>Y4 (поддержка 30 магазинов)</t>
        </is>
      </c>
      <c r="B18" s="36" t="n">
        <v>32</v>
      </c>
    </row>
    <row r="19">
      <c r="A19" s="13" t="inlineStr">
        <is>
          <t>Y5 (поддержка 34 магазинов)</t>
        </is>
      </c>
      <c r="B19" s="36" t="n">
        <v>35</v>
      </c>
    </row>
    <row r="21">
      <c r="A21" s="10" t="inlineStr">
        <is>
          <t>Effect of economy of scale (снижение COGS магазинов)</t>
        </is>
      </c>
      <c r="B21" s="11" t="n"/>
      <c r="C21" s="12" t="n"/>
    </row>
    <row r="22">
      <c r="A22" s="13" t="inlineStr">
        <is>
          <t>Снижение списаний фреш</t>
        </is>
      </c>
      <c r="B22" s="4" t="inlineStr">
        <is>
          <t>-1.0%</t>
        </is>
      </c>
      <c r="C22" s="6" t="inlineStr">
        <is>
          <t>централизованная нарезка-фасовка</t>
        </is>
      </c>
    </row>
    <row r="23">
      <c r="A23" s="13" t="inlineStr">
        <is>
          <t>Снижение закупочной цены мяса (объём)</t>
        </is>
      </c>
      <c r="B23" s="4" t="inlineStr">
        <is>
          <t>-2.5%</t>
        </is>
      </c>
      <c r="C23" s="6" t="inlineStr">
        <is>
          <t>оптовый контракт с фермами</t>
        </is>
      </c>
    </row>
    <row r="24">
      <c r="A24" s="13" t="inlineStr">
        <is>
          <t>Снижение лог. на магазин</t>
        </is>
      </c>
      <c r="B24" s="4" t="inlineStr">
        <is>
          <t>-0.8%</t>
        </is>
      </c>
      <c r="C24" s="6" t="inlineStr">
        <is>
          <t>оптимизированный маршрут</t>
        </is>
      </c>
    </row>
    <row r="25">
      <c r="A25" s="13" t="inlineStr">
        <is>
          <t>ИТОГО снижение COGS магазинов Y3+</t>
        </is>
      </c>
      <c r="B25" s="4" t="inlineStr">
        <is>
          <t>≈ -4 п.п.</t>
        </is>
      </c>
      <c r="C25" s="6" t="inlineStr">
        <is>
          <t>учтено в Допущениях через снижение «Прочее»</t>
        </is>
      </c>
    </row>
  </sheetData>
  <mergeCells count="3">
    <mergeCell ref="A1:C1"/>
    <mergeCell ref="A21:C21"/>
    <mergeCell ref="A15:C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2026-06-02T13:56:07Z</dcterms:created>
  <dcterms:modified xmlns:dcterms="http://purl.org/dc/terms/" xmlns:xsi="http://www.w3.org/2001/XMLSchema-instance" xsi:type="dcterms:W3CDTF">2026-06-02T13:56:07Z</dcterms:modified>
</cp:coreProperties>
</file>